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D:\HUỲNH TẤN ĐẠT\2023\đường Bời Lời\"/>
    </mc:Choice>
  </mc:AlternateContent>
  <xr:revisionPtr revIDLastSave="0" documentId="13_ncr:1_{65EDFFFE-8098-4977-9494-9AC0F7725DD5}" xr6:coauthVersionLast="47" xr6:coauthVersionMax="47" xr10:uidLastSave="{00000000-0000-0000-0000-000000000000}"/>
  <bookViews>
    <workbookView xWindow="-108" yWindow="-108" windowWidth="23256" windowHeight="13176" xr2:uid="{3A22CF2E-469C-4DEA-A33D-F078B4ABF410}"/>
  </bookViews>
  <sheets>
    <sheet name="Sheet1" sheetId="1" r:id="rId1"/>
  </sheets>
  <definedNames>
    <definedName name="_xlnm._FilterDatabase" localSheetId="0" hidden="1">Sheet1!$A$7:$AC$2937</definedName>
    <definedName name="_xlnm.Print_Titles" localSheetId="0">Sheet1!$7:$7</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606" i="1" l="1"/>
  <c r="F1969" i="1"/>
  <c r="F1955" i="1"/>
  <c r="F1909" i="1"/>
  <c r="F1820" i="1"/>
  <c r="F1058" i="1"/>
  <c r="F1019" i="1"/>
  <c r="F1708" i="1"/>
  <c r="F1588" i="1"/>
  <c r="F1059" i="1"/>
  <c r="F969" i="1"/>
  <c r="G969" i="1" s="1"/>
  <c r="F970" i="1"/>
  <c r="F1749" i="1"/>
  <c r="F103" i="1"/>
  <c r="F2740" i="1"/>
  <c r="F102" i="1"/>
  <c r="F112" i="1"/>
  <c r="F113" i="1"/>
  <c r="F114" i="1"/>
  <c r="F2897" i="1"/>
  <c r="G2683" i="1"/>
  <c r="F2932" i="1"/>
  <c r="F2904" i="1"/>
  <c r="F2898" i="1"/>
  <c r="F2891" i="1"/>
  <c r="F2886" i="1"/>
  <c r="F2885" i="1"/>
  <c r="F2844" i="1"/>
  <c r="E2818" i="1"/>
  <c r="F2750" i="1"/>
  <c r="F2713" i="1"/>
  <c r="F2712" i="1"/>
  <c r="F2636" i="1"/>
  <c r="G2636" i="1" s="1"/>
  <c r="F2621" i="1"/>
  <c r="F2613" i="1"/>
  <c r="F2604" i="1"/>
  <c r="F2590" i="1"/>
  <c r="F2570" i="1"/>
  <c r="F2516" i="1"/>
  <c r="F2382" i="1"/>
  <c r="F2380" i="1"/>
  <c r="G2380" i="1" s="1"/>
  <c r="F2379" i="1"/>
  <c r="F2367" i="1"/>
  <c r="F2354" i="1"/>
  <c r="F2276" i="1"/>
  <c r="F2273" i="1"/>
  <c r="F2264" i="1"/>
  <c r="F2263" i="1"/>
  <c r="F2256" i="1"/>
  <c r="G2256" i="1" s="1"/>
  <c r="G2255" i="1" s="1"/>
  <c r="F2195" i="1"/>
  <c r="G2195" i="1" s="1"/>
  <c r="F2188" i="1"/>
  <c r="G2188" i="1" s="1"/>
  <c r="F2185" i="1"/>
  <c r="G2185" i="1" s="1"/>
  <c r="F2166" i="1"/>
  <c r="F2159" i="1"/>
  <c r="G2159" i="1" s="1"/>
  <c r="G2158" i="1" s="1"/>
  <c r="F2148" i="1"/>
  <c r="F2138" i="1"/>
  <c r="F2099" i="1"/>
  <c r="G2099" i="1" s="1"/>
  <c r="G2098" i="1" s="1"/>
  <c r="F2081" i="1"/>
  <c r="G2081" i="1" s="1"/>
  <c r="F2056" i="1"/>
  <c r="G2056" i="1" s="1"/>
  <c r="F2048" i="1"/>
  <c r="G2048" i="1" s="1"/>
  <c r="F2025" i="1"/>
  <c r="G2025" i="1" s="1"/>
  <c r="F2024" i="1"/>
  <c r="G2024" i="1" s="1"/>
  <c r="F2006" i="1"/>
  <c r="F1988" i="1"/>
  <c r="F1943" i="1"/>
  <c r="G1943" i="1" s="1"/>
  <c r="F1942" i="1"/>
  <c r="G1942" i="1" s="1"/>
  <c r="F1941" i="1"/>
  <c r="F1917" i="1"/>
  <c r="G1917" i="1" s="1"/>
  <c r="F1916" i="1"/>
  <c r="G1916" i="1" s="1"/>
  <c r="F1908" i="1"/>
  <c r="F1900" i="1"/>
  <c r="G1900" i="1" s="1"/>
  <c r="F1892" i="1"/>
  <c r="F1891" i="1"/>
  <c r="G1891" i="1" s="1"/>
  <c r="F1882" i="1"/>
  <c r="G1882" i="1" s="1"/>
  <c r="F1881" i="1"/>
  <c r="G1881" i="1" s="1"/>
  <c r="F1830" i="1"/>
  <c r="F1829" i="1"/>
  <c r="F1828" i="1"/>
  <c r="F1827" i="1"/>
  <c r="F1819" i="1"/>
  <c r="F1798" i="1"/>
  <c r="G1798" i="1" s="1"/>
  <c r="F1796" i="1"/>
  <c r="F1741" i="1"/>
  <c r="F1688" i="1"/>
  <c r="F1613" i="1"/>
  <c r="G1613" i="1" s="1"/>
  <c r="F1612" i="1"/>
  <c r="G1612" i="1" s="1"/>
  <c r="F1589" i="1"/>
  <c r="G1589" i="1" s="1"/>
  <c r="F1586" i="1"/>
  <c r="F1564" i="1"/>
  <c r="G1564" i="1" s="1"/>
  <c r="F1551" i="1"/>
  <c r="F1479" i="1"/>
  <c r="G1479" i="1" s="1"/>
  <c r="F1431" i="1"/>
  <c r="F1394" i="1"/>
  <c r="G1394" i="1" s="1"/>
  <c r="F1379" i="1"/>
  <c r="F1369" i="1"/>
  <c r="F1316" i="1"/>
  <c r="F1293" i="1"/>
  <c r="F1275" i="1"/>
  <c r="F1246" i="1"/>
  <c r="F1222" i="1"/>
  <c r="F1221" i="1"/>
  <c r="F1203" i="1"/>
  <c r="F1202" i="1"/>
  <c r="G1202" i="1" s="1"/>
  <c r="F1075" i="1"/>
  <c r="F1068" i="1"/>
  <c r="F987" i="1"/>
  <c r="G987" i="1" s="1"/>
  <c r="F929" i="1"/>
  <c r="F897" i="1"/>
  <c r="F896" i="1"/>
  <c r="G896" i="1" s="1"/>
  <c r="F810" i="1"/>
  <c r="G810" i="1" s="1"/>
  <c r="G809" i="1" s="1"/>
  <c r="G745" i="1"/>
  <c r="F750" i="1"/>
  <c r="F731" i="1"/>
  <c r="F686" i="1"/>
  <c r="G686" i="1" s="1"/>
  <c r="F659" i="1"/>
  <c r="G659" i="1" s="1"/>
  <c r="F658" i="1"/>
  <c r="F642" i="1"/>
  <c r="F635" i="1"/>
  <c r="F633" i="1"/>
  <c r="G633" i="1" s="1"/>
  <c r="F615" i="1"/>
  <c r="F614" i="1"/>
  <c r="G614" i="1" s="1"/>
  <c r="F590" i="1"/>
  <c r="F591" i="1"/>
  <c r="F576" i="1"/>
  <c r="G576" i="1" s="1"/>
  <c r="F558" i="1"/>
  <c r="G558" i="1" s="1"/>
  <c r="F548" i="1"/>
  <c r="F549" i="1"/>
  <c r="F530" i="1"/>
  <c r="G530" i="1" s="1"/>
  <c r="G529" i="1" s="1"/>
  <c r="F522" i="1"/>
  <c r="F523" i="1"/>
  <c r="F521" i="1"/>
  <c r="F513" i="1"/>
  <c r="G513" i="1" s="1"/>
  <c r="F512" i="1"/>
  <c r="G512" i="1" s="1"/>
  <c r="F470" i="1"/>
  <c r="F441" i="1"/>
  <c r="G441" i="1" s="1"/>
  <c r="F420" i="1"/>
  <c r="G420" i="1" s="1"/>
  <c r="F392" i="1"/>
  <c r="G392" i="1" s="1"/>
  <c r="F367" i="1"/>
  <c r="G367" i="1" s="1"/>
  <c r="F344" i="1"/>
  <c r="G344" i="1" s="1"/>
  <c r="F343" i="1"/>
  <c r="G343" i="1" s="1"/>
  <c r="F332" i="1"/>
  <c r="G332" i="1" s="1"/>
  <c r="F246" i="1"/>
  <c r="G246" i="1" s="1"/>
  <c r="F244" i="1"/>
  <c r="G244" i="1" s="1"/>
  <c r="F182" i="1"/>
  <c r="F171" i="1"/>
  <c r="F100" i="1"/>
  <c r="G100" i="1" s="1"/>
  <c r="F99" i="1"/>
  <c r="G99" i="1" s="1"/>
  <c r="F65" i="1"/>
  <c r="F64" i="1"/>
  <c r="G64" i="1" s="1"/>
  <c r="F55" i="1"/>
  <c r="F40" i="1"/>
  <c r="G2811" i="1"/>
  <c r="G2810" i="1" s="1"/>
  <c r="G2806" i="1"/>
  <c r="G2805" i="1" s="1"/>
  <c r="G2801" i="1"/>
  <c r="G2800" i="1" s="1"/>
  <c r="E2796" i="1"/>
  <c r="G2796" i="1" s="1"/>
  <c r="G2795" i="1" s="1"/>
  <c r="G2794" i="1"/>
  <c r="G2793" i="1" s="1"/>
  <c r="G1692" i="1"/>
  <c r="G1693" i="1"/>
  <c r="G1694" i="1"/>
  <c r="G708" i="1"/>
  <c r="G711" i="1"/>
  <c r="G712" i="1"/>
  <c r="G713" i="1"/>
  <c r="G714" i="1"/>
  <c r="G715" i="1"/>
  <c r="G716" i="1"/>
  <c r="G643" i="1"/>
  <c r="G432" i="1"/>
  <c r="G431" i="1" s="1"/>
  <c r="G434" i="1"/>
  <c r="G433" i="1" s="1"/>
  <c r="E40" i="1"/>
  <c r="E55" i="1"/>
  <c r="E48" i="1"/>
  <c r="G48" i="1" s="1"/>
  <c r="G47" i="1" s="1"/>
  <c r="F2176" i="1"/>
  <c r="G2176" i="1" s="1"/>
  <c r="F2113" i="1"/>
  <c r="G2113" i="1" s="1"/>
  <c r="F1800" i="1"/>
  <c r="G1800" i="1" s="1"/>
  <c r="F1451" i="1"/>
  <c r="G1451" i="1" s="1"/>
  <c r="F1265" i="1"/>
  <c r="G1265" i="1" s="1"/>
  <c r="F968" i="1"/>
  <c r="G968" i="1" s="1"/>
  <c r="F717" i="1"/>
  <c r="G717" i="1" s="1"/>
  <c r="F454" i="1"/>
  <c r="G454" i="1" s="1"/>
  <c r="F443" i="1"/>
  <c r="G443" i="1" s="1"/>
  <c r="F366" i="1"/>
  <c r="G366" i="1" s="1"/>
  <c r="F334" i="1"/>
  <c r="G334" i="1" s="1"/>
  <c r="F172" i="1"/>
  <c r="G172" i="1" s="1"/>
  <c r="G1396" i="1"/>
  <c r="G1031" i="1"/>
  <c r="G1030" i="1" s="1"/>
  <c r="E263" i="1"/>
  <c r="G263" i="1" s="1"/>
  <c r="G262" i="1" s="1"/>
  <c r="E81" i="1"/>
  <c r="G81" i="1" s="1"/>
  <c r="G80" i="1" s="1"/>
  <c r="E1981" i="1"/>
  <c r="G1981" i="1" s="1"/>
  <c r="G1980" i="1" s="1"/>
  <c r="E296" i="1"/>
  <c r="G296" i="1" s="1"/>
  <c r="G295" i="1" s="1"/>
  <c r="E1999" i="1"/>
  <c r="G1999" i="1" s="1"/>
  <c r="G1998" i="1" s="1"/>
  <c r="E1993" i="1"/>
  <c r="E1991" i="1"/>
  <c r="E2501" i="1"/>
  <c r="G2501" i="1" s="1"/>
  <c r="G2500" i="1" s="1"/>
  <c r="E2316" i="1"/>
  <c r="G2316" i="1" s="1"/>
  <c r="G2315" i="1" s="1"/>
  <c r="E2278" i="1"/>
  <c r="G2278" i="1" s="1"/>
  <c r="G2277" i="1" s="1"/>
  <c r="E2720" i="1"/>
  <c r="G2720" i="1" s="1"/>
  <c r="G2719" i="1" s="1"/>
  <c r="E2306" i="1"/>
  <c r="G2306" i="1" s="1"/>
  <c r="G2305" i="1" s="1"/>
  <c r="E2328" i="1"/>
  <c r="G2328" i="1" s="1"/>
  <c r="G2327" i="1" s="1"/>
  <c r="E2358" i="1"/>
  <c r="G2358" i="1" s="1"/>
  <c r="G2357" i="1" s="1"/>
  <c r="E2370" i="1"/>
  <c r="G2370" i="1" s="1"/>
  <c r="G2369" i="1" s="1"/>
  <c r="E2385" i="1"/>
  <c r="G2385" i="1" s="1"/>
  <c r="G2384" i="1" s="1"/>
  <c r="E2419" i="1"/>
  <c r="G2419" i="1" s="1"/>
  <c r="G2418" i="1" s="1"/>
  <c r="E2433" i="1"/>
  <c r="G2433" i="1" s="1"/>
  <c r="G2432" i="1" s="1"/>
  <c r="E2449" i="1"/>
  <c r="G2449" i="1" s="1"/>
  <c r="G2448" i="1" s="1"/>
  <c r="E2474" i="1"/>
  <c r="G2474" i="1" s="1"/>
  <c r="G2473" i="1" s="1"/>
  <c r="E2222" i="1"/>
  <c r="G2222" i="1" s="1"/>
  <c r="G2221" i="1" s="1"/>
  <c r="E2231" i="1"/>
  <c r="G2231" i="1" s="1"/>
  <c r="G2230" i="1" s="1"/>
  <c r="E2240" i="1"/>
  <c r="G2240" i="1" s="1"/>
  <c r="G2239" i="1" s="1"/>
  <c r="E1884" i="1"/>
  <c r="G1884" i="1" s="1"/>
  <c r="G1883" i="1" s="1"/>
  <c r="E1458" i="1"/>
  <c r="G1458" i="1" s="1"/>
  <c r="G1457" i="1" s="1"/>
  <c r="E1862" i="1"/>
  <c r="G1862" i="1" s="1"/>
  <c r="G1861" i="1" s="1"/>
  <c r="E2249" i="1"/>
  <c r="G2249" i="1" s="1"/>
  <c r="G2248" i="1" s="1"/>
  <c r="E2754" i="1"/>
  <c r="G2754" i="1" s="1"/>
  <c r="G2753" i="1" s="1"/>
  <c r="E2777" i="1"/>
  <c r="G2777" i="1" s="1"/>
  <c r="G2776" i="1" s="1"/>
  <c r="E701" i="1"/>
  <c r="G701" i="1" s="1"/>
  <c r="G700" i="1" s="1"/>
  <c r="E1636" i="1"/>
  <c r="G1636" i="1" s="1"/>
  <c r="G1635" i="1" s="1"/>
  <c r="E1615" i="1"/>
  <c r="G1615" i="1" s="1"/>
  <c r="G1614" i="1" s="1"/>
  <c r="E1734" i="1"/>
  <c r="G1734" i="1" s="1"/>
  <c r="G1733" i="1" s="1"/>
  <c r="E1722" i="1"/>
  <c r="G1722" i="1" s="1"/>
  <c r="E1721" i="1"/>
  <c r="G1720" i="1"/>
  <c r="E427" i="1"/>
  <c r="G427" i="1" s="1"/>
  <c r="G426" i="1" s="1"/>
  <c r="E1874" i="1"/>
  <c r="G1874" i="1" s="1"/>
  <c r="G1873" i="1" s="1"/>
  <c r="G1906" i="1"/>
  <c r="G1905" i="1" s="1"/>
  <c r="E2597" i="1"/>
  <c r="G2597" i="1" s="1"/>
  <c r="G2596" i="1" s="1"/>
  <c r="E2527" i="1"/>
  <c r="G2527" i="1" s="1"/>
  <c r="G2526" i="1" s="1"/>
  <c r="E2520" i="1"/>
  <c r="G2520" i="1" s="1"/>
  <c r="G2519" i="1" s="1"/>
  <c r="E1811" i="1"/>
  <c r="G1811" i="1" s="1"/>
  <c r="G1810" i="1" s="1"/>
  <c r="E1850" i="1"/>
  <c r="G1850" i="1" s="1"/>
  <c r="G1849" i="1" s="1"/>
  <c r="E1889" i="1"/>
  <c r="G1889" i="1" s="1"/>
  <c r="G1888" i="1" s="1"/>
  <c r="E1887" i="1"/>
  <c r="E1919" i="1"/>
  <c r="G1919" i="1" s="1"/>
  <c r="G1918" i="1" s="1"/>
  <c r="E1971" i="1"/>
  <c r="G1971" i="1" s="1"/>
  <c r="G1970" i="1" s="1"/>
  <c r="E1986" i="1"/>
  <c r="E1984" i="1"/>
  <c r="E1934" i="1"/>
  <c r="G1934" i="1" s="1"/>
  <c r="G1933" i="1" s="1"/>
  <c r="E2039" i="1"/>
  <c r="G2039" i="1" s="1"/>
  <c r="G2038" i="1" s="1"/>
  <c r="E2583" i="1"/>
  <c r="G2583" i="1" s="1"/>
  <c r="G2582" i="1" s="1"/>
  <c r="E2581" i="1"/>
  <c r="G2581" i="1" s="1"/>
  <c r="E2580" i="1"/>
  <c r="G2580" i="1" s="1"/>
  <c r="E2579" i="1"/>
  <c r="G2579" i="1" s="1"/>
  <c r="E2578" i="1"/>
  <c r="G2578" i="1" s="1"/>
  <c r="E2576" i="1"/>
  <c r="G2576" i="1" s="1"/>
  <c r="G2575" i="1" s="1"/>
  <c r="E2574" i="1"/>
  <c r="E2178" i="1"/>
  <c r="G2178" i="1" s="1"/>
  <c r="G2177" i="1" s="1"/>
  <c r="E2152" i="1"/>
  <c r="G2152" i="1" s="1"/>
  <c r="G2151" i="1" s="1"/>
  <c r="E2141" i="1"/>
  <c r="G2141" i="1" s="1"/>
  <c r="G2140" i="1" s="1"/>
  <c r="E2105" i="1"/>
  <c r="G2105" i="1" s="1"/>
  <c r="G2104" i="1" s="1"/>
  <c r="E1506" i="1"/>
  <c r="G1506" i="1" s="1"/>
  <c r="G1505" i="1" s="1"/>
  <c r="E1626" i="1"/>
  <c r="G1626" i="1" s="1"/>
  <c r="G1625" i="1" s="1"/>
  <c r="E2534" i="1"/>
  <c r="G2534" i="1" s="1"/>
  <c r="G2533" i="1" s="1"/>
  <c r="G2532" i="1"/>
  <c r="G2531" i="1" s="1"/>
  <c r="E1605" i="1"/>
  <c r="G1605" i="1" s="1"/>
  <c r="G1604" i="1" s="1"/>
  <c r="E2682" i="1"/>
  <c r="G2682" i="1" s="1"/>
  <c r="E2681" i="1"/>
  <c r="G2681" i="1" s="1"/>
  <c r="E2680" i="1"/>
  <c r="G2680" i="1" s="1"/>
  <c r="E2679" i="1"/>
  <c r="G2679" i="1" s="1"/>
  <c r="G2677" i="1"/>
  <c r="G2676" i="1" s="1"/>
  <c r="E1715" i="1"/>
  <c r="G1715" i="1" s="1"/>
  <c r="G1714" i="1" s="1"/>
  <c r="E1751" i="1"/>
  <c r="G1751" i="1" s="1"/>
  <c r="G1750" i="1" s="1"/>
  <c r="E1760" i="1"/>
  <c r="G1760" i="1" s="1"/>
  <c r="G1759" i="1" s="1"/>
  <c r="E1774" i="1"/>
  <c r="G1774" i="1" s="1"/>
  <c r="G1773" i="1" s="1"/>
  <c r="E1763" i="1"/>
  <c r="E803" i="1"/>
  <c r="G803" i="1" s="1"/>
  <c r="G802" i="1" s="1"/>
  <c r="E792" i="1"/>
  <c r="G792" i="1" s="1"/>
  <c r="G791" i="1" s="1"/>
  <c r="E790" i="1"/>
  <c r="E648" i="1"/>
  <c r="G648" i="1" s="1"/>
  <c r="G647" i="1" s="1"/>
  <c r="E646" i="1"/>
  <c r="E642" i="1"/>
  <c r="G640" i="1"/>
  <c r="G639" i="1" s="1"/>
  <c r="E618" i="1"/>
  <c r="G618" i="1" s="1"/>
  <c r="G617" i="1" s="1"/>
  <c r="E600" i="1"/>
  <c r="G600" i="1" s="1"/>
  <c r="G599" i="1" s="1"/>
  <c r="E583" i="1"/>
  <c r="G583" i="1" s="1"/>
  <c r="G582" i="1" s="1"/>
  <c r="E569" i="1"/>
  <c r="G569" i="1" s="1"/>
  <c r="G568" i="1" s="1"/>
  <c r="E116" i="1"/>
  <c r="G116" i="1" s="1"/>
  <c r="G115" i="1" s="1"/>
  <c r="E114" i="1"/>
  <c r="E112" i="1"/>
  <c r="E2911" i="1"/>
  <c r="G2911" i="1" s="1"/>
  <c r="G2913" i="1"/>
  <c r="G2912" i="1"/>
  <c r="G2910" i="1"/>
  <c r="E32" i="1"/>
  <c r="G32" i="1" s="1"/>
  <c r="G31" i="1" s="1"/>
  <c r="E144" i="1"/>
  <c r="G144" i="1" s="1"/>
  <c r="G143" i="1" s="1"/>
  <c r="E151" i="1"/>
  <c r="G151" i="1" s="1"/>
  <c r="G150" i="1" s="1"/>
  <c r="E209" i="1"/>
  <c r="G209" i="1" s="1"/>
  <c r="G208" i="1" s="1"/>
  <c r="E1487" i="1"/>
  <c r="G1487" i="1" s="1"/>
  <c r="G1486" i="1" s="1"/>
  <c r="E1332" i="1"/>
  <c r="G1332" i="1" s="1"/>
  <c r="G1331" i="1" s="1"/>
  <c r="E770" i="1"/>
  <c r="G770" i="1" s="1"/>
  <c r="G769" i="1" s="1"/>
  <c r="E1494" i="1"/>
  <c r="G1494" i="1" s="1"/>
  <c r="G1493" i="1" s="1"/>
  <c r="G992" i="1"/>
  <c r="G991" i="1" s="1"/>
  <c r="E1009" i="1"/>
  <c r="G1009" i="1" s="1"/>
  <c r="G1008" i="1" s="1"/>
  <c r="E411" i="1"/>
  <c r="G411" i="1" s="1"/>
  <c r="G410" i="1" s="1"/>
  <c r="E1214" i="1"/>
  <c r="G1214" i="1" s="1"/>
  <c r="G1213" i="1" s="1"/>
  <c r="E1112" i="1"/>
  <c r="G1112" i="1" s="1"/>
  <c r="G1111" i="1" s="1"/>
  <c r="G1050" i="1"/>
  <c r="E1207" i="1"/>
  <c r="G1207" i="1" s="1"/>
  <c r="G1206" i="1" s="1"/>
  <c r="E1352" i="1"/>
  <c r="G1352" i="1" s="1"/>
  <c r="G1351" i="1" s="1"/>
  <c r="E1026" i="1"/>
  <c r="G1026" i="1" s="1"/>
  <c r="G1025" i="1" s="1"/>
  <c r="E1014" i="1"/>
  <c r="G1014" i="1" s="1"/>
  <c r="G1013" i="1" s="1"/>
  <c r="E1012" i="1"/>
  <c r="E1036" i="1"/>
  <c r="G1036" i="1" s="1"/>
  <c r="G1035" i="1" s="1"/>
  <c r="E1083" i="1"/>
  <c r="G1083" i="1" s="1"/>
  <c r="G1082" i="1" s="1"/>
  <c r="E1424" i="1"/>
  <c r="G1424" i="1" s="1"/>
  <c r="G1423" i="1" s="1"/>
  <c r="E463" i="1"/>
  <c r="G463" i="1" s="1"/>
  <c r="G462" i="1" s="1"/>
  <c r="G468" i="1"/>
  <c r="G467" i="1" s="1"/>
  <c r="E385" i="1"/>
  <c r="G385" i="1" s="1"/>
  <c r="G384" i="1" s="1"/>
  <c r="E325" i="1"/>
  <c r="G325" i="1" s="1"/>
  <c r="G324" i="1" s="1"/>
  <c r="E284" i="1"/>
  <c r="G284" i="1" s="1"/>
  <c r="G283" i="1" s="1"/>
  <c r="E216" i="1"/>
  <c r="G216" i="1" s="1"/>
  <c r="G215" i="1" s="1"/>
  <c r="G492" i="1"/>
  <c r="G491" i="1" s="1"/>
  <c r="E359" i="1"/>
  <c r="G359" i="1" s="1"/>
  <c r="G358" i="1" s="1"/>
  <c r="E105" i="1"/>
  <c r="G105" i="1" s="1"/>
  <c r="G104" i="1" s="1"/>
  <c r="E1309" i="1"/>
  <c r="G1309" i="1" s="1"/>
  <c r="G1308" i="1" s="1"/>
  <c r="E551" i="1"/>
  <c r="G551" i="1" s="1"/>
  <c r="G550" i="1" s="1"/>
  <c r="G129" i="1"/>
  <c r="E171" i="1"/>
  <c r="E65" i="1"/>
  <c r="E92" i="1"/>
  <c r="G92" i="1" s="1"/>
  <c r="G91" i="1" s="1"/>
  <c r="E1136" i="1"/>
  <c r="G1136" i="1" s="1"/>
  <c r="G1135" i="1" s="1"/>
  <c r="E1093" i="1"/>
  <c r="G1093" i="1" s="1"/>
  <c r="G1092" i="1" s="1"/>
  <c r="E1392" i="1"/>
  <c r="G1392" i="1" s="1"/>
  <c r="G1391" i="1" s="1"/>
  <c r="E1163" i="1"/>
  <c r="G1163" i="1" s="1"/>
  <c r="G1162" i="1" s="1"/>
  <c r="E477" i="1"/>
  <c r="G477" i="1" s="1"/>
  <c r="E473" i="1"/>
  <c r="E846" i="1"/>
  <c r="G846" i="1" s="1"/>
  <c r="G845" i="1" s="1"/>
  <c r="G341" i="1"/>
  <c r="G340" i="1" s="1"/>
  <c r="E1248" i="1"/>
  <c r="G1248" i="1" s="1"/>
  <c r="G1247" i="1" s="1"/>
  <c r="E237" i="1"/>
  <c r="G237" i="1" s="1"/>
  <c r="G236" i="1" s="1"/>
  <c r="E487" i="1"/>
  <c r="G487" i="1" s="1"/>
  <c r="G486" i="1" s="1"/>
  <c r="E1195" i="1"/>
  <c r="G1195" i="1" s="1"/>
  <c r="G1194" i="1" s="1"/>
  <c r="E19" i="1"/>
  <c r="G19" i="1" s="1"/>
  <c r="G18" i="1" s="1"/>
  <c r="G2784" i="1"/>
  <c r="G10" i="1"/>
  <c r="G9" i="1" s="1"/>
  <c r="G16" i="1"/>
  <c r="G17" i="1"/>
  <c r="G24" i="1"/>
  <c r="G23" i="1" s="1"/>
  <c r="G28" i="1"/>
  <c r="G29" i="1"/>
  <c r="G30" i="1"/>
  <c r="G37" i="1"/>
  <c r="G36" i="1" s="1"/>
  <c r="G42" i="1"/>
  <c r="G43" i="1"/>
  <c r="G44" i="1"/>
  <c r="G45" i="1"/>
  <c r="G46" i="1"/>
  <c r="G53" i="1"/>
  <c r="G52" i="1" s="1"/>
  <c r="G61" i="1"/>
  <c r="G60" i="1" s="1"/>
  <c r="G72" i="1"/>
  <c r="G71" i="1" s="1"/>
  <c r="G74" i="1"/>
  <c r="G75" i="1"/>
  <c r="G84" i="1"/>
  <c r="G86" i="1"/>
  <c r="G85" i="1" s="1"/>
  <c r="G90" i="1"/>
  <c r="G95" i="1"/>
  <c r="G97" i="1"/>
  <c r="G96" i="1" s="1"/>
  <c r="G102" i="1"/>
  <c r="G103" i="1"/>
  <c r="G110" i="1"/>
  <c r="G109" i="1" s="1"/>
  <c r="G121" i="1"/>
  <c r="G123" i="1"/>
  <c r="G130" i="1"/>
  <c r="G149" i="1"/>
  <c r="G148" i="1" s="1"/>
  <c r="G156" i="1"/>
  <c r="G155" i="1" s="1"/>
  <c r="G163" i="1"/>
  <c r="G162" i="1" s="1"/>
  <c r="G169" i="1"/>
  <c r="G168" i="1" s="1"/>
  <c r="G178" i="1"/>
  <c r="G177" i="1" s="1"/>
  <c r="G186" i="1"/>
  <c r="G187" i="1"/>
  <c r="G188" i="1"/>
  <c r="G189" i="1"/>
  <c r="G190" i="1"/>
  <c r="G191" i="1"/>
  <c r="G192" i="1"/>
  <c r="G197" i="1"/>
  <c r="G196" i="1" s="1"/>
  <c r="G199" i="1"/>
  <c r="G200" i="1"/>
  <c r="G204" i="1"/>
  <c r="G125" i="1"/>
  <c r="G127" i="1"/>
  <c r="G133" i="1"/>
  <c r="G134" i="1"/>
  <c r="G214" i="1"/>
  <c r="G213" i="1" s="1"/>
  <c r="G221" i="1"/>
  <c r="G220" i="1" s="1"/>
  <c r="G223" i="1"/>
  <c r="G224" i="1"/>
  <c r="G225" i="1"/>
  <c r="G226" i="1"/>
  <c r="G227" i="1"/>
  <c r="G228" i="1"/>
  <c r="G229" i="1"/>
  <c r="G230" i="1"/>
  <c r="G231" i="1"/>
  <c r="G232" i="1"/>
  <c r="G234" i="1"/>
  <c r="G235" i="1"/>
  <c r="G242" i="1"/>
  <c r="G241" i="1" s="1"/>
  <c r="G247" i="1"/>
  <c r="G248" i="1"/>
  <c r="G249" i="1"/>
  <c r="G252" i="1"/>
  <c r="G257" i="1"/>
  <c r="G256" i="1" s="1"/>
  <c r="G259" i="1"/>
  <c r="G260" i="1"/>
  <c r="G261" i="1"/>
  <c r="G268" i="1"/>
  <c r="G267" i="1" s="1"/>
  <c r="G270" i="1"/>
  <c r="G271" i="1"/>
  <c r="G277" i="1"/>
  <c r="G278" i="1"/>
  <c r="G279" i="1"/>
  <c r="G280" i="1"/>
  <c r="G281" i="1"/>
  <c r="G282" i="1"/>
  <c r="G289" i="1"/>
  <c r="G293" i="1"/>
  <c r="G301" i="1"/>
  <c r="G300" i="1" s="1"/>
  <c r="G309" i="1"/>
  <c r="G308" i="1" s="1"/>
  <c r="G311" i="1"/>
  <c r="G312" i="1"/>
  <c r="G319" i="1"/>
  <c r="G320" i="1"/>
  <c r="G321" i="1"/>
  <c r="G322" i="1"/>
  <c r="G323" i="1"/>
  <c r="G330" i="1"/>
  <c r="G329" i="1" s="1"/>
  <c r="G333" i="1"/>
  <c r="G336" i="1"/>
  <c r="G335" i="1" s="1"/>
  <c r="G345" i="1"/>
  <c r="G348" i="1"/>
  <c r="G347" i="1" s="1"/>
  <c r="G353" i="1"/>
  <c r="G352" i="1" s="1"/>
  <c r="G355" i="1"/>
  <c r="G364" i="1"/>
  <c r="G363" i="1" s="1"/>
  <c r="G369" i="1"/>
  <c r="G368" i="1" s="1"/>
  <c r="G374" i="1"/>
  <c r="G373" i="1" s="1"/>
  <c r="G376" i="1"/>
  <c r="G375" i="1" s="1"/>
  <c r="G381" i="1"/>
  <c r="G380" i="1" s="1"/>
  <c r="G383" i="1"/>
  <c r="G382" i="1" s="1"/>
  <c r="G390" i="1"/>
  <c r="G389" i="1" s="1"/>
  <c r="G393" i="1"/>
  <c r="G394" i="1"/>
  <c r="G395" i="1"/>
  <c r="G396" i="1"/>
  <c r="G397" i="1"/>
  <c r="G398" i="1"/>
  <c r="G399" i="1"/>
  <c r="G400" i="1"/>
  <c r="G401" i="1"/>
  <c r="G402" i="1"/>
  <c r="G403" i="1"/>
  <c r="G404" i="1"/>
  <c r="G405" i="1"/>
  <c r="G406" i="1"/>
  <c r="G408" i="1"/>
  <c r="G409" i="1"/>
  <c r="G416" i="1"/>
  <c r="G424" i="1"/>
  <c r="G425" i="1"/>
  <c r="G439" i="1"/>
  <c r="G438" i="1" s="1"/>
  <c r="G442" i="1"/>
  <c r="G448" i="1"/>
  <c r="G447" i="1" s="1"/>
  <c r="G450" i="1"/>
  <c r="G451" i="1"/>
  <c r="G452" i="1"/>
  <c r="G453" i="1"/>
  <c r="G459" i="1"/>
  <c r="G458" i="1" s="1"/>
  <c r="G461" i="1"/>
  <c r="G460" i="1" s="1"/>
  <c r="G476" i="1"/>
  <c r="G482" i="1"/>
  <c r="G481" i="1" s="1"/>
  <c r="G484" i="1"/>
  <c r="G485" i="1"/>
  <c r="G2825" i="1"/>
  <c r="G2826" i="1"/>
  <c r="G2831" i="1"/>
  <c r="G2830" i="1" s="1"/>
  <c r="G496" i="1"/>
  <c r="G495" i="1" s="1"/>
  <c r="G501" i="1"/>
  <c r="G500" i="1" s="1"/>
  <c r="G503" i="1"/>
  <c r="G502" i="1" s="1"/>
  <c r="G505" i="1"/>
  <c r="G504" i="1" s="1"/>
  <c r="G519" i="1"/>
  <c r="G518" i="1" s="1"/>
  <c r="G528" i="1"/>
  <c r="G527" i="1" s="1"/>
  <c r="G535" i="1"/>
  <c r="G534" i="1" s="1"/>
  <c r="G546" i="1"/>
  <c r="G545" i="1" s="1"/>
  <c r="G556" i="1"/>
  <c r="G555" i="1" s="1"/>
  <c r="G559" i="1"/>
  <c r="G564" i="1"/>
  <c r="G563" i="1" s="1"/>
  <c r="G566" i="1"/>
  <c r="G567" i="1"/>
  <c r="G574" i="1"/>
  <c r="G573" i="1" s="1"/>
  <c r="G577" i="1"/>
  <c r="G580" i="1"/>
  <c r="G581" i="1"/>
  <c r="G588" i="1"/>
  <c r="G587" i="1" s="1"/>
  <c r="G596" i="1"/>
  <c r="G595" i="1" s="1"/>
  <c r="G598" i="1"/>
  <c r="G597" i="1" s="1"/>
  <c r="G605" i="1"/>
  <c r="G604" i="1" s="1"/>
  <c r="G607" i="1"/>
  <c r="G606" i="1" s="1"/>
  <c r="G612" i="1"/>
  <c r="G611" i="1" s="1"/>
  <c r="G616" i="1"/>
  <c r="G623" i="1"/>
  <c r="G622" i="1" s="1"/>
  <c r="G625" i="1"/>
  <c r="G626" i="1"/>
  <c r="G631" i="1"/>
  <c r="G630" i="1" s="1"/>
  <c r="G634" i="1"/>
  <c r="G635" i="1"/>
  <c r="G651" i="1"/>
  <c r="G652" i="1"/>
  <c r="G653" i="1"/>
  <c r="G654" i="1"/>
  <c r="G655" i="1"/>
  <c r="G661" i="1"/>
  <c r="G662" i="1"/>
  <c r="G663" i="1"/>
  <c r="G664" i="1"/>
  <c r="G665" i="1"/>
  <c r="G667" i="1"/>
  <c r="G668" i="1"/>
  <c r="G673" i="1"/>
  <c r="G672" i="1" s="1"/>
  <c r="G675" i="1"/>
  <c r="G674" i="1" s="1"/>
  <c r="G680" i="1"/>
  <c r="G687" i="1"/>
  <c r="G682" i="1"/>
  <c r="G688" i="1"/>
  <c r="G689" i="1"/>
  <c r="G722" i="1"/>
  <c r="G721" i="1" s="1"/>
  <c r="G729" i="1"/>
  <c r="G728" i="1" s="1"/>
  <c r="G736" i="1"/>
  <c r="G735" i="1" s="1"/>
  <c r="G738" i="1"/>
  <c r="G739" i="1"/>
  <c r="G744" i="1"/>
  <c r="G752" i="1"/>
  <c r="G753" i="1"/>
  <c r="G775" i="1"/>
  <c r="G774" i="1" s="1"/>
  <c r="G777" i="1"/>
  <c r="G779" i="1"/>
  <c r="G784" i="1"/>
  <c r="G783" i="1" s="1"/>
  <c r="G794" i="1"/>
  <c r="G795" i="1"/>
  <c r="G796" i="1"/>
  <c r="G797" i="1"/>
  <c r="G799" i="1"/>
  <c r="G800" i="1"/>
  <c r="G801" i="1"/>
  <c r="G808" i="1"/>
  <c r="G807" i="1" s="1"/>
  <c r="G815" i="1"/>
  <c r="G814" i="1" s="1"/>
  <c r="G817" i="1"/>
  <c r="G816" i="1" s="1"/>
  <c r="G822" i="1"/>
  <c r="G821" i="1" s="1"/>
  <c r="G830" i="1"/>
  <c r="G829" i="1" s="1"/>
  <c r="G844" i="1"/>
  <c r="G843" i="1" s="1"/>
  <c r="G851" i="1"/>
  <c r="G850" i="1" s="1"/>
  <c r="G853" i="1"/>
  <c r="G852" i="1" s="1"/>
  <c r="G858" i="1"/>
  <c r="G857" i="1" s="1"/>
  <c r="G860" i="1"/>
  <c r="G861" i="1"/>
  <c r="G862" i="1"/>
  <c r="G863" i="1"/>
  <c r="G868" i="1"/>
  <c r="G867" i="1" s="1"/>
  <c r="G870" i="1"/>
  <c r="G871" i="1"/>
  <c r="G872" i="1"/>
  <c r="G877" i="1"/>
  <c r="G876" i="1" s="1"/>
  <c r="G885" i="1"/>
  <c r="G884" i="1" s="1"/>
  <c r="G887" i="1"/>
  <c r="G894" i="1"/>
  <c r="G893" i="1" s="1"/>
  <c r="G904" i="1"/>
  <c r="G903" i="1" s="1"/>
  <c r="G911" i="1"/>
  <c r="G910" i="1" s="1"/>
  <c r="G913" i="1"/>
  <c r="G919" i="1"/>
  <c r="G918" i="1" s="1"/>
  <c r="G922" i="1"/>
  <c r="G927" i="1"/>
  <c r="G926" i="1" s="1"/>
  <c r="G934" i="1"/>
  <c r="G933" i="1" s="1"/>
  <c r="G941" i="1"/>
  <c r="G940" i="1" s="1"/>
  <c r="G943" i="1"/>
  <c r="G942" i="1" s="1"/>
  <c r="G948" i="1"/>
  <c r="G947" i="1" s="1"/>
  <c r="G955" i="1"/>
  <c r="G954" i="1" s="1"/>
  <c r="G957" i="1"/>
  <c r="G956" i="1" s="1"/>
  <c r="G962" i="1"/>
  <c r="G961" i="1" s="1"/>
  <c r="G964" i="1"/>
  <c r="G965" i="1"/>
  <c r="G966" i="1"/>
  <c r="G970" i="1"/>
  <c r="G972" i="1"/>
  <c r="G973" i="1"/>
  <c r="G974" i="1"/>
  <c r="G979" i="1"/>
  <c r="G978" i="1" s="1"/>
  <c r="G984" i="1"/>
  <c r="G983" i="1" s="1"/>
  <c r="G994" i="1"/>
  <c r="G993" i="1" s="1"/>
  <c r="G999" i="1"/>
  <c r="G998" i="1" s="1"/>
  <c r="G1007" i="1"/>
  <c r="G1019" i="1"/>
  <c r="G1021" i="1"/>
  <c r="G1022" i="1"/>
  <c r="G1023" i="1"/>
  <c r="G1024" i="1"/>
  <c r="G1041" i="1"/>
  <c r="G1040" i="1" s="1"/>
  <c r="G1044" i="1"/>
  <c r="G1057" i="1"/>
  <c r="G1058" i="1"/>
  <c r="G1059" i="1"/>
  <c r="G1066" i="1"/>
  <c r="G1065" i="1" s="1"/>
  <c r="G1073" i="1"/>
  <c r="G1072" i="1" s="1"/>
  <c r="G1081" i="1"/>
  <c r="G1080" i="1" s="1"/>
  <c r="G1088" i="1"/>
  <c r="G1087" i="1" s="1"/>
  <c r="G1098" i="1"/>
  <c r="G1097" i="1" s="1"/>
  <c r="G1100" i="1"/>
  <c r="G1101" i="1"/>
  <c r="G1106" i="1"/>
  <c r="G1105" i="1" s="1"/>
  <c r="G1110" i="1"/>
  <c r="G1109" i="1" s="1"/>
  <c r="G1117" i="1"/>
  <c r="G1116" i="1" s="1"/>
  <c r="G1124" i="1"/>
  <c r="G1123" i="1" s="1"/>
  <c r="G1131" i="1"/>
  <c r="G1130" i="1" s="1"/>
  <c r="G1133" i="1"/>
  <c r="G1134" i="1"/>
  <c r="G1141" i="1"/>
  <c r="G1157" i="1"/>
  <c r="G1159" i="1"/>
  <c r="G1158" i="1" s="1"/>
  <c r="G1168" i="1"/>
  <c r="G1167" i="1" s="1"/>
  <c r="G1174" i="1"/>
  <c r="G1175" i="1"/>
  <c r="G1176" i="1"/>
  <c r="G1177" i="1"/>
  <c r="G1182" i="1"/>
  <c r="G1181" i="1" s="1"/>
  <c r="G1190" i="1"/>
  <c r="G1189" i="1" s="1"/>
  <c r="G1200" i="1"/>
  <c r="G1199" i="1" s="1"/>
  <c r="G1204" i="1"/>
  <c r="G1205" i="1"/>
  <c r="G1212" i="1"/>
  <c r="G1211" i="1" s="1"/>
  <c r="G746" i="1"/>
  <c r="G763" i="1"/>
  <c r="G764" i="1"/>
  <c r="G765" i="1"/>
  <c r="G766" i="1"/>
  <c r="G767" i="1"/>
  <c r="G768" i="1"/>
  <c r="G1219" i="1"/>
  <c r="G1218" i="1" s="1"/>
  <c r="G1227" i="1"/>
  <c r="G1226" i="1" s="1"/>
  <c r="G1229" i="1"/>
  <c r="G1236" i="1"/>
  <c r="G1235" i="1" s="1"/>
  <c r="G1243" i="1"/>
  <c r="G1244" i="1"/>
  <c r="G1253" i="1"/>
  <c r="G1252" i="1" s="1"/>
  <c r="G1257" i="1"/>
  <c r="G1256" i="1" s="1"/>
  <c r="G1262" i="1"/>
  <c r="G1261" i="1" s="1"/>
  <c r="G1264" i="1"/>
  <c r="G1266" i="1"/>
  <c r="G1271" i="1"/>
  <c r="G1270" i="1" s="1"/>
  <c r="G1274" i="1"/>
  <c r="G1277" i="1"/>
  <c r="G1279" i="1"/>
  <c r="G1280" i="1"/>
  <c r="G1281" i="1"/>
  <c r="G1286" i="1"/>
  <c r="G1285" i="1" s="1"/>
  <c r="G1290" i="1"/>
  <c r="G1298" i="1"/>
  <c r="G1297" i="1" s="1"/>
  <c r="G1302" i="1"/>
  <c r="G510" i="1"/>
  <c r="G509" i="1" s="1"/>
  <c r="G514" i="1"/>
  <c r="G1307" i="1"/>
  <c r="G1306" i="1" s="1"/>
  <c r="G1314" i="1"/>
  <c r="G1313" i="1" s="1"/>
  <c r="G1321" i="1"/>
  <c r="G1320" i="1" s="1"/>
  <c r="G1327" i="1"/>
  <c r="G1328" i="1"/>
  <c r="G1330" i="1"/>
  <c r="G1329" i="1" s="1"/>
  <c r="G1337" i="1"/>
  <c r="G1336" i="1" s="1"/>
  <c r="G1341" i="1"/>
  <c r="G1340" i="1" s="1"/>
  <c r="G747" i="1"/>
  <c r="G748" i="1"/>
  <c r="G1346" i="1"/>
  <c r="G1345" i="1" s="1"/>
  <c r="G1348" i="1"/>
  <c r="G1357" i="1"/>
  <c r="G1356" i="1" s="1"/>
  <c r="G1367" i="1"/>
  <c r="G1366" i="1" s="1"/>
  <c r="G1370" i="1"/>
  <c r="G1372" i="1"/>
  <c r="G1371" i="1" s="1"/>
  <c r="G1377" i="1"/>
  <c r="G1376" i="1" s="1"/>
  <c r="G1380" i="1"/>
  <c r="G1385" i="1"/>
  <c r="G1384" i="1" s="1"/>
  <c r="G1387" i="1"/>
  <c r="G1386" i="1" s="1"/>
  <c r="G2839" i="1"/>
  <c r="G1395" i="1"/>
  <c r="G1401" i="1"/>
  <c r="G1400" i="1" s="1"/>
  <c r="G1406" i="1"/>
  <c r="G1405" i="1" s="1"/>
  <c r="G1408" i="1"/>
  <c r="G1410" i="1"/>
  <c r="G1411" i="1"/>
  <c r="G1412" i="1"/>
  <c r="G1417" i="1"/>
  <c r="G1416" i="1" s="1"/>
  <c r="G1429" i="1"/>
  <c r="G1428" i="1" s="1"/>
  <c r="G1436" i="1"/>
  <c r="G1435" i="1" s="1"/>
  <c r="G1438" i="1"/>
  <c r="G1439" i="1"/>
  <c r="G1440" i="1"/>
  <c r="G1441" i="1"/>
  <c r="G1446" i="1"/>
  <c r="G1445" i="1" s="1"/>
  <c r="G1450" i="1"/>
  <c r="G1456" i="1"/>
  <c r="G1455" i="1" s="1"/>
  <c r="G1463" i="1"/>
  <c r="G1462" i="1" s="1"/>
  <c r="G1465" i="1"/>
  <c r="G1466" i="1"/>
  <c r="G1467" i="1"/>
  <c r="G1468" i="1"/>
  <c r="G1470" i="1"/>
  <c r="G1471" i="1"/>
  <c r="G1472" i="1"/>
  <c r="G1477" i="1"/>
  <c r="G1476" i="1" s="1"/>
  <c r="G1480" i="1"/>
  <c r="G1481" i="1"/>
  <c r="G1482" i="1"/>
  <c r="G1484" i="1"/>
  <c r="G1485" i="1"/>
  <c r="G1492" i="1"/>
  <c r="G1491" i="1" s="1"/>
  <c r="G1499" i="1"/>
  <c r="G1498" i="1" s="1"/>
  <c r="G1504" i="1"/>
  <c r="G1503" i="1" s="1"/>
  <c r="G1511" i="1"/>
  <c r="G1510" i="1" s="1"/>
  <c r="G1513" i="1"/>
  <c r="G1515" i="1"/>
  <c r="G1517" i="1"/>
  <c r="G1518" i="1"/>
  <c r="G1519" i="1"/>
  <c r="G1520" i="1"/>
  <c r="G1525" i="1"/>
  <c r="G1524" i="1" s="1"/>
  <c r="G1527" i="1"/>
  <c r="G1528" i="1"/>
  <c r="G1529" i="1"/>
  <c r="G1534" i="1"/>
  <c r="G1533" i="1" s="1"/>
  <c r="G1536" i="1"/>
  <c r="G1537" i="1"/>
  <c r="G1538" i="1"/>
  <c r="G1539" i="1"/>
  <c r="G1540" i="1"/>
  <c r="G1541" i="1"/>
  <c r="G1542" i="1"/>
  <c r="G1544" i="1"/>
  <c r="G1543" i="1" s="1"/>
  <c r="G1549" i="1"/>
  <c r="G1548" i="1" s="1"/>
  <c r="G1557" i="1"/>
  <c r="G1556" i="1" s="1"/>
  <c r="G1562" i="1"/>
  <c r="G1561" i="1" s="1"/>
  <c r="G1565" i="1"/>
  <c r="G1566" i="1"/>
  <c r="G1571" i="1"/>
  <c r="G1570" i="1" s="1"/>
  <c r="G1574" i="1"/>
  <c r="G1575" i="1"/>
  <c r="G1584" i="1"/>
  <c r="G1583" i="1" s="1"/>
  <c r="G1587" i="1"/>
  <c r="G1588" i="1"/>
  <c r="G1594" i="1"/>
  <c r="G1593" i="1" s="1"/>
  <c r="G1610" i="1"/>
  <c r="G1609" i="1" s="1"/>
  <c r="G1620" i="1"/>
  <c r="G1619" i="1" s="1"/>
  <c r="G1622" i="1"/>
  <c r="G1623" i="1"/>
  <c r="G1624" i="1"/>
  <c r="G1631" i="1"/>
  <c r="G1630" i="1" s="1"/>
  <c r="G418" i="1"/>
  <c r="G422" i="1"/>
  <c r="G1641" i="1"/>
  <c r="G1640" i="1" s="1"/>
  <c r="G1645" i="1"/>
  <c r="G1644" i="1" s="1"/>
  <c r="G1650" i="1"/>
  <c r="G1649" i="1" s="1"/>
  <c r="G1658" i="1"/>
  <c r="G1660" i="1"/>
  <c r="G1667" i="1"/>
  <c r="G1671" i="1"/>
  <c r="G1672" i="1"/>
  <c r="G1673" i="1"/>
  <c r="G1674" i="1"/>
  <c r="G1675" i="1"/>
  <c r="G1676" i="1"/>
  <c r="G1677" i="1"/>
  <c r="G1678" i="1"/>
  <c r="G1679" i="1"/>
  <c r="G1680" i="1"/>
  <c r="G1681" i="1"/>
  <c r="G1686" i="1"/>
  <c r="G1685" i="1" s="1"/>
  <c r="G1699" i="1"/>
  <c r="G1698" i="1" s="1"/>
  <c r="G1708" i="1"/>
  <c r="G1709" i="1"/>
  <c r="G1711" i="1"/>
  <c r="G1712" i="1"/>
  <c r="G1713" i="1"/>
  <c r="G1731" i="1"/>
  <c r="G1732" i="1"/>
  <c r="G1739" i="1"/>
  <c r="G1738" i="1" s="1"/>
  <c r="G1746" i="1"/>
  <c r="G1745" i="1" s="1"/>
  <c r="G1749" i="1"/>
  <c r="G1756" i="1"/>
  <c r="G1755" i="1" s="1"/>
  <c r="G1765" i="1"/>
  <c r="G1766" i="1"/>
  <c r="G1772" i="1"/>
  <c r="G1771" i="1" s="1"/>
  <c r="G1779" i="1"/>
  <c r="G1778" i="1" s="1"/>
  <c r="G1781" i="1"/>
  <c r="G1780" i="1" s="1"/>
  <c r="G1783" i="1"/>
  <c r="G1784" i="1"/>
  <c r="G1789" i="1"/>
  <c r="G1788" i="1" s="1"/>
  <c r="G1794" i="1"/>
  <c r="G1793" i="1" s="1"/>
  <c r="G1796" i="1"/>
  <c r="G1797" i="1"/>
  <c r="G1799" i="1"/>
  <c r="G1051" i="1"/>
  <c r="G1052" i="1"/>
  <c r="G1805" i="1"/>
  <c r="G1804" i="1" s="1"/>
  <c r="G1820" i="1"/>
  <c r="G1825" i="1"/>
  <c r="G1824" i="1" s="1"/>
  <c r="G1832" i="1"/>
  <c r="G1834" i="1"/>
  <c r="G1835" i="1"/>
  <c r="G1836" i="1"/>
  <c r="G1837" i="1"/>
  <c r="G1838" i="1"/>
  <c r="G1839" i="1"/>
  <c r="G1840" i="1"/>
  <c r="G1845" i="1"/>
  <c r="G1844" i="1" s="1"/>
  <c r="G1855" i="1"/>
  <c r="G1854" i="1" s="1"/>
  <c r="G1860" i="1"/>
  <c r="G1859" i="1" s="1"/>
  <c r="G1870" i="1"/>
  <c r="G1872" i="1"/>
  <c r="G1871" i="1" s="1"/>
  <c r="G1879" i="1"/>
  <c r="G1878" i="1" s="1"/>
  <c r="G1898" i="1"/>
  <c r="G1897" i="1" s="1"/>
  <c r="G1909" i="1"/>
  <c r="G1914" i="1"/>
  <c r="G1913" i="1" s="1"/>
  <c r="G1928" i="1"/>
  <c r="G837" i="1"/>
  <c r="G836" i="1" s="1"/>
  <c r="G839" i="1"/>
  <c r="G838" i="1" s="1"/>
  <c r="G1939" i="1"/>
  <c r="G1938" i="1" s="1"/>
  <c r="G1944" i="1"/>
  <c r="G1949" i="1"/>
  <c r="G1948" i="1" s="1"/>
  <c r="G1953" i="1"/>
  <c r="G1954" i="1"/>
  <c r="G1955" i="1"/>
  <c r="G1957" i="1"/>
  <c r="G1958" i="1"/>
  <c r="G1959" i="1"/>
  <c r="G1960" i="1"/>
  <c r="G1965" i="1"/>
  <c r="G1964" i="1" s="1"/>
  <c r="G1967" i="1"/>
  <c r="G1968" i="1"/>
  <c r="G1969" i="1"/>
  <c r="G1976" i="1"/>
  <c r="G1975" i="1" s="1"/>
  <c r="G1978" i="1"/>
  <c r="G1979" i="1"/>
  <c r="G1995" i="1"/>
  <c r="G2004" i="1"/>
  <c r="G2003" i="1" s="1"/>
  <c r="G2008" i="1"/>
  <c r="G2009" i="1"/>
  <c r="G2014" i="1"/>
  <c r="G2013" i="1" s="1"/>
  <c r="G2017" i="1"/>
  <c r="G1926" i="1"/>
  <c r="G1930" i="1"/>
  <c r="G1931" i="1"/>
  <c r="G1932" i="1"/>
  <c r="G2022" i="1"/>
  <c r="G2021" i="1" s="1"/>
  <c r="G2031" i="1"/>
  <c r="G2030" i="1" s="1"/>
  <c r="G2033" i="1"/>
  <c r="G2034" i="1"/>
  <c r="G2035" i="1"/>
  <c r="G2037" i="1"/>
  <c r="G2036" i="1" s="1"/>
  <c r="G2044" i="1"/>
  <c r="G2043" i="1" s="1"/>
  <c r="G2046" i="1"/>
  <c r="G2047" i="1"/>
  <c r="G2053" i="1"/>
  <c r="G2052" i="1" s="1"/>
  <c r="G2061" i="1"/>
  <c r="G2060" i="1" s="1"/>
  <c r="G2063" i="1"/>
  <c r="G2064" i="1"/>
  <c r="G2069" i="1"/>
  <c r="G2071" i="1"/>
  <c r="G2072" i="1"/>
  <c r="G2073" i="1"/>
  <c r="G2078" i="1"/>
  <c r="G2077" i="1" s="1"/>
  <c r="G2086" i="1"/>
  <c r="G2085" i="1" s="1"/>
  <c r="G2090" i="1"/>
  <c r="G2091" i="1"/>
  <c r="G2092" i="1"/>
  <c r="G2097" i="1"/>
  <c r="G2096" i="1" s="1"/>
  <c r="G2101" i="1"/>
  <c r="G2102" i="1"/>
  <c r="G2103" i="1"/>
  <c r="G2110" i="1"/>
  <c r="G2109" i="1" s="1"/>
  <c r="G2112" i="1"/>
  <c r="G2114" i="1"/>
  <c r="G2119" i="1"/>
  <c r="G2118" i="1" s="1"/>
  <c r="G2127" i="1"/>
  <c r="G2126" i="1" s="1"/>
  <c r="G2130" i="1"/>
  <c r="G2131" i="1"/>
  <c r="G2136" i="1"/>
  <c r="G2135" i="1" s="1"/>
  <c r="G2146" i="1"/>
  <c r="G2145" i="1" s="1"/>
  <c r="G2149" i="1"/>
  <c r="G2150" i="1"/>
  <c r="G2157" i="1"/>
  <c r="G2156" i="1" s="1"/>
  <c r="G2164" i="1"/>
  <c r="G2163" i="1" s="1"/>
  <c r="G2172" i="1"/>
  <c r="G2171" i="1" s="1"/>
  <c r="G2174" i="1"/>
  <c r="G2175" i="1"/>
  <c r="G2183" i="1"/>
  <c r="G2182" i="1" s="1"/>
  <c r="G2186" i="1"/>
  <c r="G2187" i="1"/>
  <c r="G2193" i="1"/>
  <c r="G2192" i="1" s="1"/>
  <c r="G2196" i="1"/>
  <c r="G2197" i="1"/>
  <c r="G2198" i="1"/>
  <c r="G2203" i="1"/>
  <c r="G2202" i="1" s="1"/>
  <c r="G2208" i="1"/>
  <c r="G2207" i="1" s="1"/>
  <c r="G291" i="1"/>
  <c r="G294" i="1"/>
  <c r="G2218" i="1"/>
  <c r="G2217" i="1" s="1"/>
  <c r="G2220" i="1"/>
  <c r="G2219" i="1" s="1"/>
  <c r="G2227" i="1"/>
  <c r="G2226" i="1" s="1"/>
  <c r="G2229" i="1"/>
  <c r="G2228" i="1" s="1"/>
  <c r="G2236" i="1"/>
  <c r="G2235" i="1" s="1"/>
  <c r="G2238" i="1"/>
  <c r="G2237" i="1" s="1"/>
  <c r="G2245" i="1"/>
  <c r="G2244" i="1" s="1"/>
  <c r="G2247" i="1"/>
  <c r="G2246" i="1" s="1"/>
  <c r="G2254" i="1"/>
  <c r="G2253" i="1" s="1"/>
  <c r="G2261" i="1"/>
  <c r="G2260" i="1" s="1"/>
  <c r="G2269" i="1"/>
  <c r="G2268" i="1" s="1"/>
  <c r="G2271" i="1"/>
  <c r="G2272" i="1"/>
  <c r="G2274" i="1"/>
  <c r="G2275" i="1"/>
  <c r="G2283" i="1"/>
  <c r="G2282" i="1" s="1"/>
  <c r="G2285" i="1"/>
  <c r="G2286" i="1"/>
  <c r="G2288" i="1"/>
  <c r="G2289" i="1"/>
  <c r="G2295" i="1"/>
  <c r="G2294" i="1" s="1"/>
  <c r="G2297" i="1"/>
  <c r="G2298" i="1"/>
  <c r="G2304" i="1"/>
  <c r="G2303" i="1" s="1"/>
  <c r="G2708" i="1"/>
  <c r="G2715" i="1"/>
  <c r="G2716" i="1"/>
  <c r="G2311" i="1"/>
  <c r="G2310" i="1" s="1"/>
  <c r="G2313" i="1"/>
  <c r="G2321" i="1"/>
  <c r="G2320" i="1" s="1"/>
  <c r="G2323" i="1"/>
  <c r="G2324" i="1"/>
  <c r="G2333" i="1"/>
  <c r="G2332" i="1" s="1"/>
  <c r="G2338" i="1"/>
  <c r="G2337" i="1" s="1"/>
  <c r="G2340" i="1"/>
  <c r="G2341" i="1"/>
  <c r="G2343" i="1"/>
  <c r="G2344" i="1"/>
  <c r="G1143" i="1"/>
  <c r="G1146" i="1"/>
  <c r="G1147" i="1"/>
  <c r="G1149" i="1"/>
  <c r="G1150" i="1"/>
  <c r="G1152" i="1"/>
  <c r="G1154" i="1"/>
  <c r="G1153" i="1" s="1"/>
  <c r="G2350" i="1"/>
  <c r="G2349" i="1" s="1"/>
  <c r="G2352" i="1"/>
  <c r="G2353" i="1"/>
  <c r="G2363" i="1"/>
  <c r="G2362" i="1" s="1"/>
  <c r="G2365" i="1"/>
  <c r="G2366" i="1"/>
  <c r="G2375" i="1"/>
  <c r="G2374" i="1" s="1"/>
  <c r="G2377" i="1"/>
  <c r="G2378" i="1"/>
  <c r="G2381" i="1"/>
  <c r="G2383" i="1"/>
  <c r="G2854" i="1"/>
  <c r="G2855" i="1"/>
  <c r="G2857" i="1"/>
  <c r="G2858" i="1"/>
  <c r="G2862" i="1"/>
  <c r="G2863" i="1"/>
  <c r="G2864" i="1"/>
  <c r="G2865" i="1"/>
  <c r="G2866" i="1"/>
  <c r="G2871" i="1"/>
  <c r="G2872" i="1"/>
  <c r="G2390" i="1"/>
  <c r="G2389" i="1" s="1"/>
  <c r="G2392" i="1"/>
  <c r="G2393" i="1"/>
  <c r="G2401" i="1"/>
  <c r="G2400" i="1" s="1"/>
  <c r="G2403" i="1"/>
  <c r="G2404" i="1"/>
  <c r="G2414" i="1"/>
  <c r="G2415" i="1"/>
  <c r="G2416" i="1"/>
  <c r="G2417" i="1"/>
  <c r="G2424" i="1"/>
  <c r="G2423" i="1" s="1"/>
  <c r="G2431" i="1"/>
  <c r="G2430" i="1" s="1"/>
  <c r="G2438" i="1"/>
  <c r="G2437" i="1" s="1"/>
  <c r="G2440" i="1"/>
  <c r="G2441" i="1"/>
  <c r="G2444" i="1"/>
  <c r="G2445" i="1"/>
  <c r="G2446" i="1"/>
  <c r="G2454" i="1"/>
  <c r="G2453" i="1" s="1"/>
  <c r="G2456" i="1"/>
  <c r="G2457" i="1"/>
  <c r="G2459" i="1"/>
  <c r="G2460" i="1"/>
  <c r="G2462" i="1"/>
  <c r="G2463" i="1"/>
  <c r="G2465" i="1"/>
  <c r="G2466" i="1"/>
  <c r="G2471" i="1"/>
  <c r="G2470" i="1" s="1"/>
  <c r="G2479" i="1"/>
  <c r="G2478" i="1" s="1"/>
  <c r="G2481" i="1"/>
  <c r="G2482" i="1"/>
  <c r="G2485" i="1"/>
  <c r="G2486" i="1"/>
  <c r="G2489" i="1"/>
  <c r="G2490" i="1"/>
  <c r="G2493" i="1"/>
  <c r="G2494" i="1"/>
  <c r="G2495" i="1"/>
  <c r="G2496" i="1"/>
  <c r="G2497" i="1"/>
  <c r="G2498" i="1"/>
  <c r="G2499" i="1"/>
  <c r="G2930" i="1"/>
  <c r="G2931" i="1"/>
  <c r="G2506" i="1"/>
  <c r="G2505" i="1" s="1"/>
  <c r="G2514" i="1"/>
  <c r="G2513" i="1" s="1"/>
  <c r="G2525" i="1"/>
  <c r="G2524" i="1" s="1"/>
  <c r="G2919" i="1"/>
  <c r="G2538" i="1"/>
  <c r="G2537" i="1" s="1"/>
  <c r="G2543" i="1"/>
  <c r="G2542" i="1" s="1"/>
  <c r="G2549" i="1"/>
  <c r="G2555" i="1"/>
  <c r="G2554" i="1" s="1"/>
  <c r="G2588" i="1"/>
  <c r="G2587" i="1" s="1"/>
  <c r="G2593" i="1"/>
  <c r="G2594" i="1"/>
  <c r="G2595" i="1"/>
  <c r="G2602" i="1"/>
  <c r="G2601" i="1" s="1"/>
  <c r="G2606" i="1"/>
  <c r="G2611" i="1"/>
  <c r="G2610" i="1" s="1"/>
  <c r="G2619" i="1"/>
  <c r="G2618" i="1" s="1"/>
  <c r="G2622" i="1"/>
  <c r="G2630" i="1"/>
  <c r="G2629" i="1" s="1"/>
  <c r="G2641" i="1"/>
  <c r="G2640" i="1" s="1"/>
  <c r="G2645" i="1"/>
  <c r="G2644" i="1" s="1"/>
  <c r="G2650" i="1"/>
  <c r="G2649" i="1" s="1"/>
  <c r="G2879" i="1"/>
  <c r="G2880" i="1"/>
  <c r="G2655" i="1"/>
  <c r="G2654" i="1" s="1"/>
  <c r="G2662" i="1"/>
  <c r="G2661" i="1" s="1"/>
  <c r="G2667" i="1"/>
  <c r="G2666" i="1" s="1"/>
  <c r="G2672" i="1"/>
  <c r="G2671" i="1" s="1"/>
  <c r="G2688" i="1"/>
  <c r="G2687" i="1" s="1"/>
  <c r="G2693" i="1"/>
  <c r="G2692" i="1" s="1"/>
  <c r="G2698" i="1"/>
  <c r="G2697" i="1" s="1"/>
  <c r="G2565" i="1"/>
  <c r="G2714" i="1"/>
  <c r="G2725" i="1"/>
  <c r="G2724" i="1" s="1"/>
  <c r="G2892" i="1"/>
  <c r="G2899" i="1"/>
  <c r="G2905" i="1"/>
  <c r="G2922" i="1"/>
  <c r="G2925" i="1"/>
  <c r="G2730" i="1"/>
  <c r="G2729" i="1" s="1"/>
  <c r="G2732" i="1"/>
  <c r="G2733" i="1"/>
  <c r="G2735" i="1"/>
  <c r="G2739" i="1"/>
  <c r="G2740" i="1"/>
  <c r="G2742" i="1"/>
  <c r="G2743" i="1"/>
  <c r="G684" i="1"/>
  <c r="G706" i="1"/>
  <c r="G2748" i="1"/>
  <c r="G2747" i="1" s="1"/>
  <c r="G2759" i="1"/>
  <c r="G2758" i="1" s="1"/>
  <c r="G2762" i="1"/>
  <c r="G2763" i="1"/>
  <c r="G2768" i="1"/>
  <c r="G2767" i="1" s="1"/>
  <c r="G2775" i="1"/>
  <c r="G2774" i="1" s="1"/>
  <c r="G2782" i="1"/>
  <c r="G2781" i="1" s="1"/>
  <c r="G2785" i="1"/>
  <c r="G2789" i="1"/>
  <c r="G2788" i="1" s="1"/>
  <c r="G698" i="1"/>
  <c r="G697" i="1" s="1"/>
  <c r="E12" i="1"/>
  <c r="G12" i="1" s="1"/>
  <c r="E13" i="1"/>
  <c r="G13" i="1" s="1"/>
  <c r="E14" i="1"/>
  <c r="G14" i="1" s="1"/>
  <c r="E26" i="1"/>
  <c r="G26" i="1" s="1"/>
  <c r="G25" i="1" s="1"/>
  <c r="E39" i="1"/>
  <c r="G39" i="1" s="1"/>
  <c r="E56" i="1"/>
  <c r="G56" i="1" s="1"/>
  <c r="E66" i="1"/>
  <c r="G66" i="1" s="1"/>
  <c r="E67" i="1"/>
  <c r="G67" i="1" s="1"/>
  <c r="E76" i="1"/>
  <c r="G76" i="1" s="1"/>
  <c r="E77" i="1"/>
  <c r="G77" i="1" s="1"/>
  <c r="E78" i="1"/>
  <c r="G78" i="1" s="1"/>
  <c r="E79" i="1"/>
  <c r="G79" i="1" s="1"/>
  <c r="G88" i="1"/>
  <c r="E89" i="1"/>
  <c r="G89" i="1" s="1"/>
  <c r="E101" i="1"/>
  <c r="G101" i="1" s="1"/>
  <c r="E113" i="1"/>
  <c r="E158" i="1"/>
  <c r="G158" i="1" s="1"/>
  <c r="G157" i="1" s="1"/>
  <c r="E182" i="1"/>
  <c r="E183" i="1"/>
  <c r="E184" i="1"/>
  <c r="E201" i="1"/>
  <c r="G201" i="1" s="1"/>
  <c r="E202" i="1"/>
  <c r="G202" i="1" s="1"/>
  <c r="E203" i="1"/>
  <c r="G203" i="1" s="1"/>
  <c r="E205" i="1"/>
  <c r="G205" i="1" s="1"/>
  <c r="E206" i="1"/>
  <c r="G206" i="1" s="1"/>
  <c r="E207" i="1"/>
  <c r="G207" i="1" s="1"/>
  <c r="E131" i="1"/>
  <c r="G131" i="1" s="1"/>
  <c r="E132" i="1"/>
  <c r="G132" i="1" s="1"/>
  <c r="E135" i="1"/>
  <c r="G135" i="1" s="1"/>
  <c r="E136" i="1"/>
  <c r="G136" i="1" s="1"/>
  <c r="E137" i="1"/>
  <c r="G137" i="1" s="1"/>
  <c r="E138" i="1"/>
  <c r="G138" i="1" s="1"/>
  <c r="E139" i="1"/>
  <c r="G139" i="1" s="1"/>
  <c r="E140" i="1"/>
  <c r="G140" i="1" s="1"/>
  <c r="E141" i="1"/>
  <c r="G141" i="1" s="1"/>
  <c r="E142" i="1"/>
  <c r="G142" i="1" s="1"/>
  <c r="E250" i="1"/>
  <c r="G250" i="1" s="1"/>
  <c r="E251" i="1"/>
  <c r="G251" i="1" s="1"/>
  <c r="E272" i="1"/>
  <c r="G272" i="1" s="1"/>
  <c r="E273" i="1"/>
  <c r="G273" i="1" s="1"/>
  <c r="E274" i="1"/>
  <c r="G274" i="1" s="1"/>
  <c r="E275" i="1"/>
  <c r="G275" i="1" s="1"/>
  <c r="E2787" i="1"/>
  <c r="G2787" i="1" s="1"/>
  <c r="E2786" i="1"/>
  <c r="G2786" i="1" s="1"/>
  <c r="E2773" i="1"/>
  <c r="G2773" i="1" s="1"/>
  <c r="E2772" i="1"/>
  <c r="G2772" i="1" s="1"/>
  <c r="E2771" i="1"/>
  <c r="G2771" i="1" s="1"/>
  <c r="E2770" i="1"/>
  <c r="G2770" i="1" s="1"/>
  <c r="E2761" i="1"/>
  <c r="G2761" i="1" s="1"/>
  <c r="E2752" i="1"/>
  <c r="G2752" i="1" s="1"/>
  <c r="E2751" i="1"/>
  <c r="G2751" i="1" s="1"/>
  <c r="E2750" i="1"/>
  <c r="E710" i="1"/>
  <c r="G710" i="1" s="1"/>
  <c r="E693" i="1"/>
  <c r="G693" i="1" s="1"/>
  <c r="E692" i="1"/>
  <c r="G692" i="1" s="1"/>
  <c r="E691" i="1"/>
  <c r="G691" i="1" s="1"/>
  <c r="E690" i="1"/>
  <c r="G690" i="1" s="1"/>
  <c r="E2738" i="1"/>
  <c r="G2738" i="1" s="1"/>
  <c r="E2737" i="1"/>
  <c r="G2737" i="1" s="1"/>
  <c r="E2736" i="1"/>
  <c r="G2736" i="1" s="1"/>
  <c r="E2734" i="1"/>
  <c r="G2734" i="1" s="1"/>
  <c r="E2924" i="1"/>
  <c r="G2924" i="1" s="1"/>
  <c r="E2904" i="1"/>
  <c r="E2898" i="1"/>
  <c r="E2897" i="1"/>
  <c r="G2897" i="1" s="1"/>
  <c r="E2891" i="1"/>
  <c r="E2886" i="1"/>
  <c r="E2885" i="1"/>
  <c r="E2713" i="1"/>
  <c r="E2712" i="1"/>
  <c r="E2711" i="1"/>
  <c r="G2711" i="1" s="1"/>
  <c r="E2710" i="1"/>
  <c r="G2710" i="1" s="1"/>
  <c r="E2706" i="1"/>
  <c r="G2706" i="1" s="1"/>
  <c r="E2571" i="1"/>
  <c r="G2571" i="1" s="1"/>
  <c r="E2570" i="1"/>
  <c r="E2700" i="1"/>
  <c r="G2700" i="1" s="1"/>
  <c r="G2699" i="1" s="1"/>
  <c r="E2657" i="1"/>
  <c r="G2657" i="1" s="1"/>
  <c r="G2656" i="1" s="1"/>
  <c r="E2878" i="1"/>
  <c r="G2878" i="1" s="1"/>
  <c r="E2643" i="1"/>
  <c r="G2643" i="1" s="1"/>
  <c r="G2642" i="1" s="1"/>
  <c r="E2635" i="1"/>
  <c r="G2635" i="1" s="1"/>
  <c r="E2634" i="1"/>
  <c r="G2634" i="1" s="1"/>
  <c r="E2633" i="1"/>
  <c r="G2633" i="1" s="1"/>
  <c r="E2632" i="1"/>
  <c r="G2632" i="1" s="1"/>
  <c r="E2625" i="1"/>
  <c r="G2625" i="1" s="1"/>
  <c r="E2624" i="1"/>
  <c r="G2624" i="1" s="1"/>
  <c r="E2623" i="1"/>
  <c r="G2623" i="1" s="1"/>
  <c r="E2621" i="1"/>
  <c r="E2614" i="1"/>
  <c r="G2614" i="1" s="1"/>
  <c r="E2613" i="1"/>
  <c r="E2605" i="1"/>
  <c r="G2605" i="1" s="1"/>
  <c r="E2604" i="1"/>
  <c r="E2591" i="1"/>
  <c r="G2591" i="1" s="1"/>
  <c r="E2590" i="1"/>
  <c r="E2569" i="1"/>
  <c r="G2569" i="1" s="1"/>
  <c r="E2568" i="1"/>
  <c r="G2568" i="1" s="1"/>
  <c r="E2567" i="1"/>
  <c r="G2567" i="1" s="1"/>
  <c r="E2563" i="1"/>
  <c r="G2563" i="1" s="1"/>
  <c r="E2557" i="1"/>
  <c r="G2557" i="1" s="1"/>
  <c r="G2556" i="1" s="1"/>
  <c r="E2550" i="1"/>
  <c r="G2550" i="1" s="1"/>
  <c r="E2548" i="1"/>
  <c r="G2548" i="1" s="1"/>
  <c r="E2547" i="1"/>
  <c r="G2547" i="1" s="1"/>
  <c r="E2546" i="1"/>
  <c r="G2546" i="1" s="1"/>
  <c r="E2545" i="1"/>
  <c r="G2545" i="1" s="1"/>
  <c r="E2918" i="1"/>
  <c r="G2918" i="1" s="1"/>
  <c r="E2518" i="1"/>
  <c r="G2518" i="1" s="1"/>
  <c r="E2517" i="1"/>
  <c r="G2517" i="1" s="1"/>
  <c r="E2516" i="1"/>
  <c r="E2509" i="1"/>
  <c r="G2509" i="1" s="1"/>
  <c r="E2508" i="1"/>
  <c r="G2508" i="1" s="1"/>
  <c r="G15" i="1" l="1"/>
  <c r="G2923" i="1"/>
  <c r="G292" i="1"/>
  <c r="G2917" i="1"/>
  <c r="G98" i="1"/>
  <c r="G2909" i="1"/>
  <c r="G2915" i="1" s="1"/>
  <c r="G2464" i="1"/>
  <c r="G2877" i="1"/>
  <c r="G2882" i="1" s="1"/>
  <c r="G2705" i="1"/>
  <c r="G2760" i="1"/>
  <c r="G557" i="1"/>
  <c r="G2824" i="1"/>
  <c r="G2861" i="1"/>
  <c r="G2833" i="1"/>
  <c r="G2808" i="1"/>
  <c r="G2813" i="1"/>
  <c r="G2731" i="1"/>
  <c r="G2783" i="1"/>
  <c r="G2562" i="1"/>
  <c r="G2769" i="1"/>
  <c r="G2741" i="1"/>
  <c r="G2803" i="1"/>
  <c r="G2727" i="1"/>
  <c r="G2702" i="1"/>
  <c r="G2798" i="1"/>
  <c r="G2690" i="1"/>
  <c r="G2695" i="1"/>
  <c r="G2678" i="1"/>
  <c r="G2674" i="1"/>
  <c r="G705" i="1"/>
  <c r="G1915" i="1"/>
  <c r="G1880" i="1"/>
  <c r="G2669" i="1"/>
  <c r="G2712" i="1"/>
  <c r="G2592" i="1"/>
  <c r="G2413" i="1"/>
  <c r="G2664" i="1"/>
  <c r="G2507" i="1"/>
  <c r="G2659" i="1"/>
  <c r="G2631" i="1"/>
  <c r="G1611" i="1"/>
  <c r="G1469" i="1"/>
  <c r="G1437" i="1"/>
  <c r="G2492" i="1"/>
  <c r="G1263" i="1"/>
  <c r="G2652" i="1"/>
  <c r="G2173" i="1"/>
  <c r="G2007" i="1"/>
  <c r="G1730" i="1"/>
  <c r="G2577" i="1"/>
  <c r="G2559" i="1"/>
  <c r="G2647" i="1"/>
  <c r="G2540" i="1"/>
  <c r="G2476" i="1"/>
  <c r="G2535" i="1"/>
  <c r="G2529" i="1"/>
  <c r="G2544" i="1"/>
  <c r="G2111" i="1"/>
  <c r="G1099" i="1"/>
  <c r="G2070" i="1"/>
  <c r="G2032" i="1"/>
  <c r="G2335" i="1"/>
  <c r="G1966" i="1"/>
  <c r="G2089" i="1"/>
  <c r="G1782" i="1"/>
  <c r="G2194" i="1"/>
  <c r="G2898" i="1"/>
  <c r="G2896" i="1" s="1"/>
  <c r="G1977" i="1"/>
  <c r="G2100" i="1"/>
  <c r="G1764" i="1"/>
  <c r="G1718" i="1"/>
  <c r="G2045" i="1"/>
  <c r="G1656" i="1"/>
  <c r="G1483" i="1"/>
  <c r="G2184" i="1"/>
  <c r="G1242" i="1"/>
  <c r="G743" i="1"/>
  <c r="G2161" i="1"/>
  <c r="G2242" i="1"/>
  <c r="G2233" i="1"/>
  <c r="G2224" i="1"/>
  <c r="G2308" i="1"/>
  <c r="G2251" i="1"/>
  <c r="G2205" i="1"/>
  <c r="G2258" i="1"/>
  <c r="G1516" i="1"/>
  <c r="G1710" i="1"/>
  <c r="G1020" i="1"/>
  <c r="G1535" i="1"/>
  <c r="G1278" i="1"/>
  <c r="G1140" i="1"/>
  <c r="G1670" i="1"/>
  <c r="G1621" i="1"/>
  <c r="G1132" i="1"/>
  <c r="G1393" i="1"/>
  <c r="G1526" i="1"/>
  <c r="G1478" i="1"/>
  <c r="G1795" i="1"/>
  <c r="G1464" i="1"/>
  <c r="G1956" i="1"/>
  <c r="G1563" i="1"/>
  <c r="G1173" i="1"/>
  <c r="G1691" i="1"/>
  <c r="G1833" i="1"/>
  <c r="G1460" i="1"/>
  <c r="G1791" i="1"/>
  <c r="G1389" i="1"/>
  <c r="G1216" i="1"/>
  <c r="G1508" i="1"/>
  <c r="G1501" i="1"/>
  <c r="G1496" i="1"/>
  <c r="G1403" i="1"/>
  <c r="G737" i="1"/>
  <c r="G666" i="1"/>
  <c r="G971" i="1"/>
  <c r="G624" i="1"/>
  <c r="G483" i="1"/>
  <c r="G1311" i="1"/>
  <c r="G869" i="1"/>
  <c r="G565" i="1"/>
  <c r="G859" i="1"/>
  <c r="G798" i="1"/>
  <c r="G2904" i="1"/>
  <c r="G2903" i="1" s="1"/>
  <c r="G762" i="1"/>
  <c r="G1049" i="1"/>
  <c r="G996" i="1"/>
  <c r="G841" i="1"/>
  <c r="G812" i="1"/>
  <c r="G819" i="1"/>
  <c r="G981" i="1"/>
  <c r="G855" i="1"/>
  <c r="G959" i="1"/>
  <c r="G945" i="1"/>
  <c r="G848" i="1"/>
  <c r="G679" i="1"/>
  <c r="G685" i="1"/>
  <c r="G793" i="1"/>
  <c r="G579" i="1"/>
  <c r="G511" i="1"/>
  <c r="G709" i="1"/>
  <c r="G632" i="1"/>
  <c r="G703" i="1"/>
  <c r="G609" i="1"/>
  <c r="G602" i="1"/>
  <c r="G73" i="1"/>
  <c r="G532" i="1"/>
  <c r="G677" i="1"/>
  <c r="G2885" i="1"/>
  <c r="G507" i="1"/>
  <c r="G2713" i="1"/>
  <c r="G2891" i="1"/>
  <c r="G2886" i="1"/>
  <c r="G440" i="1"/>
  <c r="G449" i="1"/>
  <c r="G436" i="1"/>
  <c r="G465" i="1"/>
  <c r="G2613" i="1"/>
  <c r="G2612" i="1" s="1"/>
  <c r="G2621" i="1"/>
  <c r="G2620" i="1" s="1"/>
  <c r="G2590" i="1"/>
  <c r="G2589" i="1" s="1"/>
  <c r="G2604" i="1"/>
  <c r="G2603" i="1" s="1"/>
  <c r="G2750" i="1"/>
  <c r="G2749" i="1" s="1"/>
  <c r="G2570" i="1"/>
  <c r="G2566" i="1" s="1"/>
  <c r="G2516" i="1"/>
  <c r="G2515" i="1" s="1"/>
  <c r="G642" i="1"/>
  <c r="G641" i="1" s="1"/>
  <c r="G112" i="1"/>
  <c r="G475" i="1"/>
  <c r="G479" i="1" s="1"/>
  <c r="G423" i="1"/>
  <c r="G415" i="1"/>
  <c r="G365" i="1"/>
  <c r="G407" i="1"/>
  <c r="G378" i="1"/>
  <c r="G387" i="1"/>
  <c r="G331" i="1"/>
  <c r="G182" i="1"/>
  <c r="G179" i="1" s="1"/>
  <c r="G171" i="1"/>
  <c r="G170" i="1" s="1"/>
  <c r="G391" i="1"/>
  <c r="G318" i="1"/>
  <c r="G288" i="1"/>
  <c r="G87" i="1"/>
  <c r="G65" i="1"/>
  <c r="G63" i="1" s="1"/>
  <c r="G233" i="1"/>
  <c r="G269" i="1"/>
  <c r="G258" i="1"/>
  <c r="G276" i="1"/>
  <c r="G243" i="1"/>
  <c r="G198" i="1"/>
  <c r="G218" i="1"/>
  <c r="G185" i="1"/>
  <c r="G222" i="1"/>
  <c r="G166" i="1"/>
  <c r="G160" i="1"/>
  <c r="G153" i="1"/>
  <c r="G119" i="1"/>
  <c r="G113" i="1"/>
  <c r="G128" i="1"/>
  <c r="G27" i="1"/>
  <c r="G114" i="1"/>
  <c r="G55" i="1"/>
  <c r="G54" i="1" s="1"/>
  <c r="G58" i="1" s="1"/>
  <c r="G41" i="1"/>
  <c r="G40" i="1"/>
  <c r="G38" i="1" s="1"/>
  <c r="G11" i="1"/>
  <c r="E2932" i="1"/>
  <c r="G2932" i="1" s="1"/>
  <c r="G2929" i="1" s="1"/>
  <c r="E2491" i="1"/>
  <c r="G2491" i="1" s="1"/>
  <c r="E2488" i="1"/>
  <c r="G2488" i="1" s="1"/>
  <c r="E2487" i="1"/>
  <c r="G2487" i="1" s="1"/>
  <c r="E2484" i="1"/>
  <c r="G2484" i="1" s="1"/>
  <c r="E2483" i="1"/>
  <c r="G2483" i="1" s="1"/>
  <c r="E2461" i="1"/>
  <c r="G2461" i="1" s="1"/>
  <c r="E2458" i="1"/>
  <c r="G2458" i="1" s="1"/>
  <c r="E2447" i="1"/>
  <c r="G2447" i="1" s="1"/>
  <c r="E2443" i="1"/>
  <c r="G2443" i="1" s="1"/>
  <c r="E2442" i="1"/>
  <c r="G2442" i="1" s="1"/>
  <c r="E2429" i="1"/>
  <c r="G2429" i="1" s="1"/>
  <c r="E2428" i="1"/>
  <c r="G2428" i="1" s="1"/>
  <c r="E2427" i="1"/>
  <c r="G2427" i="1" s="1"/>
  <c r="E2426" i="1"/>
  <c r="G2426" i="1" s="1"/>
  <c r="E2412" i="1"/>
  <c r="G2412" i="1" s="1"/>
  <c r="E2411" i="1"/>
  <c r="G2411" i="1" s="1"/>
  <c r="E2410" i="1"/>
  <c r="G2410" i="1" s="1"/>
  <c r="E2409" i="1"/>
  <c r="G2409" i="1" s="1"/>
  <c r="E2408" i="1"/>
  <c r="G2408" i="1" s="1"/>
  <c r="E2407" i="1"/>
  <c r="G2407" i="1" s="1"/>
  <c r="E2406" i="1"/>
  <c r="G2406" i="1" s="1"/>
  <c r="E2405" i="1"/>
  <c r="G2405" i="1" s="1"/>
  <c r="E2396" i="1"/>
  <c r="G2396" i="1" s="1"/>
  <c r="E2395" i="1"/>
  <c r="G2395" i="1" s="1"/>
  <c r="E2394" i="1"/>
  <c r="G2394" i="1" s="1"/>
  <c r="E2873" i="1"/>
  <c r="G2873" i="1" s="1"/>
  <c r="G2870" i="1" s="1"/>
  <c r="E2860" i="1"/>
  <c r="G2860" i="1" s="1"/>
  <c r="E2859" i="1"/>
  <c r="G2859" i="1" s="1"/>
  <c r="E2856" i="1"/>
  <c r="G2856" i="1" s="1"/>
  <c r="E2382" i="1"/>
  <c r="G2382" i="1" s="1"/>
  <c r="E2379" i="1"/>
  <c r="G2379" i="1" s="1"/>
  <c r="E2368" i="1"/>
  <c r="G2368" i="1" s="1"/>
  <c r="E2367" i="1"/>
  <c r="G2367" i="1" s="1"/>
  <c r="E2356" i="1"/>
  <c r="G2356" i="1" s="1"/>
  <c r="E2355" i="1"/>
  <c r="G2355" i="1" s="1"/>
  <c r="E2354" i="1"/>
  <c r="G2354" i="1" s="1"/>
  <c r="E1151" i="1"/>
  <c r="G1151" i="1" s="1"/>
  <c r="E1148" i="1"/>
  <c r="G1148" i="1" s="1"/>
  <c r="E2345" i="1"/>
  <c r="G2345" i="1" s="1"/>
  <c r="E2342" i="1"/>
  <c r="G2342" i="1" s="1"/>
  <c r="E2326" i="1"/>
  <c r="G2326" i="1" s="1"/>
  <c r="E2325" i="1"/>
  <c r="G2325" i="1" s="1"/>
  <c r="E2314" i="1"/>
  <c r="G2314" i="1" s="1"/>
  <c r="G2312" i="1" s="1"/>
  <c r="E2718" i="1"/>
  <c r="G2718" i="1" s="1"/>
  <c r="E2717" i="1"/>
  <c r="G2717" i="1" s="1"/>
  <c r="E2299" i="1"/>
  <c r="G2299" i="1" s="1"/>
  <c r="G2296" i="1" s="1"/>
  <c r="E2290" i="1"/>
  <c r="G2290" i="1" s="1"/>
  <c r="E2287" i="1"/>
  <c r="G2287" i="1" s="1"/>
  <c r="E2276" i="1"/>
  <c r="G2276" i="1" s="1"/>
  <c r="E2273" i="1"/>
  <c r="G2273" i="1" s="1"/>
  <c r="G298" i="1" l="1"/>
  <c r="G2884" i="1"/>
  <c r="G2888" i="1" s="1"/>
  <c r="G2927" i="1"/>
  <c r="G371" i="1"/>
  <c r="G2921" i="1"/>
  <c r="G2765" i="1"/>
  <c r="G1921" i="1"/>
  <c r="G1443" i="1"/>
  <c r="G2934" i="1"/>
  <c r="G2828" i="1"/>
  <c r="G2901" i="1"/>
  <c r="G2853" i="1"/>
  <c r="G561" i="1"/>
  <c r="G2907" i="1"/>
  <c r="G1268" i="1"/>
  <c r="G2890" i="1"/>
  <c r="G2745" i="1"/>
  <c r="G2875" i="1"/>
  <c r="G2779" i="1"/>
  <c r="G2709" i="1"/>
  <c r="G2791" i="1"/>
  <c r="G2041" i="1"/>
  <c r="G2685" i="1"/>
  <c r="G1103" i="1"/>
  <c r="G2756" i="1"/>
  <c r="G1886" i="1"/>
  <c r="G2116" i="1"/>
  <c r="G2439" i="1"/>
  <c r="G2364" i="1"/>
  <c r="G2322" i="1"/>
  <c r="G2330" i="1" s="1"/>
  <c r="G2599" i="1"/>
  <c r="G2511" i="1"/>
  <c r="G2552" i="1"/>
  <c r="G1983" i="1"/>
  <c r="G2376" i="1"/>
  <c r="G2455" i="1"/>
  <c r="G1617" i="1"/>
  <c r="G1973" i="1"/>
  <c r="G2608" i="1"/>
  <c r="G2585" i="1"/>
  <c r="G2480" i="1"/>
  <c r="G2402" i="1"/>
  <c r="G2107" i="1"/>
  <c r="G2339" i="1"/>
  <c r="G1474" i="1"/>
  <c r="G2180" i="1"/>
  <c r="G2638" i="1"/>
  <c r="G1546" i="1"/>
  <c r="G2391" i="1"/>
  <c r="G1568" i="1"/>
  <c r="G2351" i="1"/>
  <c r="G1802" i="1"/>
  <c r="G2573" i="1"/>
  <c r="G571" i="1"/>
  <c r="G2270" i="1"/>
  <c r="G2425" i="1"/>
  <c r="G1628" i="1"/>
  <c r="G2522" i="1"/>
  <c r="G2627" i="1"/>
  <c r="G1786" i="1"/>
  <c r="G2200" i="1"/>
  <c r="G865" i="1"/>
  <c r="G1489" i="1"/>
  <c r="G2616" i="1"/>
  <c r="G628" i="1"/>
  <c r="G1531" i="1"/>
  <c r="G2190" i="1"/>
  <c r="G2284" i="1"/>
  <c r="G2050" i="1"/>
  <c r="G2301" i="1"/>
  <c r="G2318" i="1"/>
  <c r="G1138" i="1"/>
  <c r="G1398" i="1"/>
  <c r="G637" i="1"/>
  <c r="G695" i="1"/>
  <c r="G874" i="1"/>
  <c r="G489" i="1"/>
  <c r="G645" i="1"/>
  <c r="G741" i="1"/>
  <c r="G516" i="1"/>
  <c r="G719" i="1"/>
  <c r="G805" i="1"/>
  <c r="G445" i="1"/>
  <c r="G456" i="1"/>
  <c r="G338" i="1"/>
  <c r="G413" i="1"/>
  <c r="G94" i="1"/>
  <c r="G211" i="1"/>
  <c r="G254" i="1"/>
  <c r="G265" i="1"/>
  <c r="G286" i="1"/>
  <c r="G175" i="1"/>
  <c r="G194" i="1"/>
  <c r="G111" i="1"/>
  <c r="G118" i="1" s="1"/>
  <c r="G239" i="1"/>
  <c r="G146" i="1"/>
  <c r="G83" i="1"/>
  <c r="G34" i="1"/>
  <c r="G107" i="1"/>
  <c r="G69" i="1"/>
  <c r="G50" i="1"/>
  <c r="E2264" i="1"/>
  <c r="G2264" i="1" s="1"/>
  <c r="E2263" i="1"/>
  <c r="G2263" i="1" s="1"/>
  <c r="E2213" i="1"/>
  <c r="G2213" i="1" s="1"/>
  <c r="E2212" i="1"/>
  <c r="G2212" i="1" s="1"/>
  <c r="E2211" i="1"/>
  <c r="G2211" i="1" s="1"/>
  <c r="E2210" i="1"/>
  <c r="G2210" i="1" s="1"/>
  <c r="E2167" i="1"/>
  <c r="G2167" i="1" s="1"/>
  <c r="E2166" i="1"/>
  <c r="G2166" i="1" s="1"/>
  <c r="E2148" i="1"/>
  <c r="G2148" i="1" s="1"/>
  <c r="G2147" i="1" s="1"/>
  <c r="E2139" i="1"/>
  <c r="G2139" i="1" s="1"/>
  <c r="E2138" i="1"/>
  <c r="G2138" i="1" s="1"/>
  <c r="E2129" i="1"/>
  <c r="G2129" i="1" s="1"/>
  <c r="G2128" i="1" s="1"/>
  <c r="E2122" i="1"/>
  <c r="G2122" i="1" s="1"/>
  <c r="E2121" i="1"/>
  <c r="G2121" i="1" s="1"/>
  <c r="E2088" i="1"/>
  <c r="G2088" i="1" s="1"/>
  <c r="G2087" i="1" s="1"/>
  <c r="E2080" i="1"/>
  <c r="G2080" i="1" s="1"/>
  <c r="G2079" i="1" s="1"/>
  <c r="E2068" i="1"/>
  <c r="G2068" i="1" s="1"/>
  <c r="E2067" i="1"/>
  <c r="G2067" i="1" s="1"/>
  <c r="E2066" i="1"/>
  <c r="G2066" i="1" s="1"/>
  <c r="E2065" i="1"/>
  <c r="G2065" i="1" s="1"/>
  <c r="E2055" i="1"/>
  <c r="G2055" i="1" s="1"/>
  <c r="G2054" i="1" s="1"/>
  <c r="E2026" i="1"/>
  <c r="G2026" i="1" s="1"/>
  <c r="G2023" i="1" s="1"/>
  <c r="E2016" i="1"/>
  <c r="G2016" i="1" s="1"/>
  <c r="G2015" i="1" s="1"/>
  <c r="E2006" i="1"/>
  <c r="G2006" i="1" s="1"/>
  <c r="G2005" i="1" s="1"/>
  <c r="E1997" i="1"/>
  <c r="G1997" i="1" s="1"/>
  <c r="E1996" i="1"/>
  <c r="G1996" i="1" s="1"/>
  <c r="G1993" i="1"/>
  <c r="G1992" i="1" s="1"/>
  <c r="E1988" i="1"/>
  <c r="G1988" i="1" s="1"/>
  <c r="G1987" i="1" s="1"/>
  <c r="G1986" i="1"/>
  <c r="G1985" i="1" s="1"/>
  <c r="E1952" i="1"/>
  <c r="G1952" i="1" s="1"/>
  <c r="E1951" i="1"/>
  <c r="G1951" i="1" s="1"/>
  <c r="E1941" i="1"/>
  <c r="G1941" i="1" s="1"/>
  <c r="G1940" i="1" s="1"/>
  <c r="E1924" i="1"/>
  <c r="G1924" i="1" s="1"/>
  <c r="G1923" i="1" s="1"/>
  <c r="E1922" i="1"/>
  <c r="E1929" i="1"/>
  <c r="G1929" i="1" s="1"/>
  <c r="G1927" i="1" s="1"/>
  <c r="E1908" i="1"/>
  <c r="G1908" i="1" s="1"/>
  <c r="G1907" i="1" s="1"/>
  <c r="E1901" i="1"/>
  <c r="G1901" i="1" s="1"/>
  <c r="G1899" i="1" s="1"/>
  <c r="E1893" i="1"/>
  <c r="G1893" i="1" s="1"/>
  <c r="E1892" i="1"/>
  <c r="G1892" i="1" s="1"/>
  <c r="E1869" i="1"/>
  <c r="G1869" i="1" s="1"/>
  <c r="G1868" i="1" s="1"/>
  <c r="E1867" i="1"/>
  <c r="G1867" i="1" s="1"/>
  <c r="G1866" i="1" s="1"/>
  <c r="E1865" i="1"/>
  <c r="E1857" i="1"/>
  <c r="G1857" i="1" s="1"/>
  <c r="E1858" i="1"/>
  <c r="G1858" i="1" s="1"/>
  <c r="E1847" i="1"/>
  <c r="G1847" i="1" s="1"/>
  <c r="E1848" i="1"/>
  <c r="G1848" i="1" s="1"/>
  <c r="E1831" i="1"/>
  <c r="G1831" i="1" s="1"/>
  <c r="E1830" i="1"/>
  <c r="G1830" i="1" s="1"/>
  <c r="E1829" i="1"/>
  <c r="G1829" i="1" s="1"/>
  <c r="E1828" i="1"/>
  <c r="G1828" i="1" s="1"/>
  <c r="E1827" i="1"/>
  <c r="G1827" i="1" s="1"/>
  <c r="E1818" i="1"/>
  <c r="G1818" i="1" s="1"/>
  <c r="E1819" i="1"/>
  <c r="G1819" i="1" s="1"/>
  <c r="E1816" i="1"/>
  <c r="G1816" i="1" s="1"/>
  <c r="G1815" i="1" s="1"/>
  <c r="E1814" i="1"/>
  <c r="E1809" i="1"/>
  <c r="G1809" i="1" s="1"/>
  <c r="E1808" i="1"/>
  <c r="G1808" i="1" s="1"/>
  <c r="E1807" i="1"/>
  <c r="G1807" i="1" s="1"/>
  <c r="E1061" i="1"/>
  <c r="G1061" i="1" s="1"/>
  <c r="E1060" i="1"/>
  <c r="G1060" i="1" s="1"/>
  <c r="E1770" i="1"/>
  <c r="G1770" i="1" s="1"/>
  <c r="E1769" i="1"/>
  <c r="G1769" i="1" s="1"/>
  <c r="E1768" i="1"/>
  <c r="G1768" i="1" s="1"/>
  <c r="E1758" i="1"/>
  <c r="G1758" i="1" s="1"/>
  <c r="G1757" i="1" s="1"/>
  <c r="E1748" i="1"/>
  <c r="G1748" i="1" s="1"/>
  <c r="G1747" i="1" s="1"/>
  <c r="G1741" i="1"/>
  <c r="G1740" i="1" s="1"/>
  <c r="E1729" i="1"/>
  <c r="G1729" i="1" s="1"/>
  <c r="E1728" i="1"/>
  <c r="G1728" i="1" s="1"/>
  <c r="E1727" i="1"/>
  <c r="G1727" i="1" s="1"/>
  <c r="E1726" i="1"/>
  <c r="G1726" i="1" s="1"/>
  <c r="E1725" i="1"/>
  <c r="G1725" i="1" s="1"/>
  <c r="E1724" i="1"/>
  <c r="G1724" i="1" s="1"/>
  <c r="E1707" i="1"/>
  <c r="G1707" i="1" s="1"/>
  <c r="E1706" i="1"/>
  <c r="G1706" i="1" s="1"/>
  <c r="E1705" i="1"/>
  <c r="G1705" i="1" s="1"/>
  <c r="E1704" i="1"/>
  <c r="G1704" i="1" s="1"/>
  <c r="E1703" i="1"/>
  <c r="G1703" i="1" s="1"/>
  <c r="E1702" i="1"/>
  <c r="G1702" i="1" s="1"/>
  <c r="E1701" i="1"/>
  <c r="G1701" i="1" s="1"/>
  <c r="E1690" i="1"/>
  <c r="G1690" i="1" s="1"/>
  <c r="E1689" i="1"/>
  <c r="G1689" i="1" s="1"/>
  <c r="E1688" i="1"/>
  <c r="G1688" i="1" s="1"/>
  <c r="E1669" i="1"/>
  <c r="G1669" i="1" s="1"/>
  <c r="E1668" i="1"/>
  <c r="G1668" i="1" s="1"/>
  <c r="E1666" i="1"/>
  <c r="G1666" i="1" s="1"/>
  <c r="E1665" i="1"/>
  <c r="G1665" i="1" s="1"/>
  <c r="E1664" i="1"/>
  <c r="G1664" i="1" s="1"/>
  <c r="E1663" i="1"/>
  <c r="G1663" i="1" s="1"/>
  <c r="E1662" i="1"/>
  <c r="G1662" i="1" s="1"/>
  <c r="E1653" i="1"/>
  <c r="G1653" i="1" s="1"/>
  <c r="E1652" i="1"/>
  <c r="G1652" i="1" s="1"/>
  <c r="E1643" i="1"/>
  <c r="G1643" i="1" s="1"/>
  <c r="G1642" i="1" s="1"/>
  <c r="G2868" i="1" l="1"/>
  <c r="G2894" i="1"/>
  <c r="G2360" i="1"/>
  <c r="G2722" i="1"/>
  <c r="G2451" i="1"/>
  <c r="G2372" i="1"/>
  <c r="G1994" i="1"/>
  <c r="G2120" i="1"/>
  <c r="G2262" i="1"/>
  <c r="G2280" i="1"/>
  <c r="G2468" i="1"/>
  <c r="G2387" i="1"/>
  <c r="G2421" i="1"/>
  <c r="G2165" i="1"/>
  <c r="G2169" i="1" s="1"/>
  <c r="G2398" i="1"/>
  <c r="G1651" i="1"/>
  <c r="G1950" i="1"/>
  <c r="G2347" i="1"/>
  <c r="G2503" i="1"/>
  <c r="G1846" i="1"/>
  <c r="G2435" i="1"/>
  <c r="G2137" i="1"/>
  <c r="G2209" i="1"/>
  <c r="G2292" i="1"/>
  <c r="G2062" i="1"/>
  <c r="G2083" i="1"/>
  <c r="G2094" i="1"/>
  <c r="G2011" i="1"/>
  <c r="G2133" i="1"/>
  <c r="G2019" i="1"/>
  <c r="G2028" i="1"/>
  <c r="G2058" i="1"/>
  <c r="G2154" i="1"/>
  <c r="G1767" i="1"/>
  <c r="G1826" i="1"/>
  <c r="G1890" i="1"/>
  <c r="G1723" i="1"/>
  <c r="G1911" i="1"/>
  <c r="G1903" i="1"/>
  <c r="G1687" i="1"/>
  <c r="G1806" i="1"/>
  <c r="G1936" i="1"/>
  <c r="G1946" i="1"/>
  <c r="G1647" i="1"/>
  <c r="G1856" i="1"/>
  <c r="G1700" i="1"/>
  <c r="G1743" i="1"/>
  <c r="G1990" i="1"/>
  <c r="G1661" i="1"/>
  <c r="G1753" i="1"/>
  <c r="G1876" i="1"/>
  <c r="G1762" i="1"/>
  <c r="G1817" i="1"/>
  <c r="E421" i="1"/>
  <c r="G421" i="1" s="1"/>
  <c r="G419" i="1" s="1"/>
  <c r="E1634" i="1"/>
  <c r="G1634" i="1" s="1"/>
  <c r="E1633" i="1"/>
  <c r="G1633" i="1" s="1"/>
  <c r="E1603" i="1"/>
  <c r="G1603" i="1" s="1"/>
  <c r="E1602" i="1"/>
  <c r="G1602" i="1" s="1"/>
  <c r="E1601" i="1"/>
  <c r="G1601" i="1" s="1"/>
  <c r="E1600" i="1"/>
  <c r="G1600" i="1" s="1"/>
  <c r="E1599" i="1"/>
  <c r="G1599" i="1" s="1"/>
  <c r="E1598" i="1"/>
  <c r="G1598" i="1" s="1"/>
  <c r="E1597" i="1"/>
  <c r="G1597" i="1" s="1"/>
  <c r="E1596" i="1"/>
  <c r="G1596" i="1" s="1"/>
  <c r="E1586" i="1"/>
  <c r="G1586" i="1" s="1"/>
  <c r="G1585" i="1" s="1"/>
  <c r="E1579" i="1"/>
  <c r="G1579" i="1" s="1"/>
  <c r="E1578" i="1"/>
  <c r="G1578" i="1" s="1"/>
  <c r="E1577" i="1"/>
  <c r="G1577" i="1" s="1"/>
  <c r="E1576" i="1"/>
  <c r="G1576" i="1" s="1"/>
  <c r="E1573" i="1"/>
  <c r="G1573" i="1" s="1"/>
  <c r="E1555" i="1"/>
  <c r="G1555" i="1" s="1"/>
  <c r="E1554" i="1"/>
  <c r="G1554" i="1" s="1"/>
  <c r="E1553" i="1"/>
  <c r="G1553" i="1" s="1"/>
  <c r="E1552" i="1"/>
  <c r="G1552" i="1" s="1"/>
  <c r="E1551" i="1"/>
  <c r="G1551" i="1" s="1"/>
  <c r="E1514" i="1"/>
  <c r="G1514" i="1" s="1"/>
  <c r="G1512" i="1" s="1"/>
  <c r="G1655" i="1" l="1"/>
  <c r="G2124" i="1"/>
  <c r="G1962" i="1"/>
  <c r="G2266" i="1"/>
  <c r="G2001" i="1"/>
  <c r="G2143" i="1"/>
  <c r="G1852" i="1"/>
  <c r="G1550" i="1"/>
  <c r="G2215" i="1"/>
  <c r="G1632" i="1"/>
  <c r="G1595" i="1"/>
  <c r="G1607" i="1" s="1"/>
  <c r="G2075" i="1"/>
  <c r="G1591" i="1"/>
  <c r="G1696" i="1"/>
  <c r="G1522" i="1"/>
  <c r="G1717" i="1"/>
  <c r="G1683" i="1"/>
  <c r="G1864" i="1"/>
  <c r="G1813" i="1"/>
  <c r="G1736" i="1"/>
  <c r="G1572" i="1"/>
  <c r="G1895" i="1"/>
  <c r="G1822" i="1"/>
  <c r="G1842" i="1"/>
  <c r="G1776" i="1"/>
  <c r="G429" i="1"/>
  <c r="E1449" i="1"/>
  <c r="G1449" i="1" s="1"/>
  <c r="E1448" i="1"/>
  <c r="G1448" i="1" s="1"/>
  <c r="E2849" i="1"/>
  <c r="G2849" i="1" s="1"/>
  <c r="G2848" i="1" s="1"/>
  <c r="E1431" i="1"/>
  <c r="G1431" i="1" s="1"/>
  <c r="G1430" i="1" s="1"/>
  <c r="E2844" i="1"/>
  <c r="G2844" i="1" s="1"/>
  <c r="G2843" i="1" s="1"/>
  <c r="E1422" i="1"/>
  <c r="G1422" i="1" s="1"/>
  <c r="E1421" i="1"/>
  <c r="G1421" i="1" s="1"/>
  <c r="E1420" i="1"/>
  <c r="G1420" i="1" s="1"/>
  <c r="E1419" i="1"/>
  <c r="G1419" i="1" s="1"/>
  <c r="E1409" i="1"/>
  <c r="G1409" i="1" s="1"/>
  <c r="G1407" i="1" s="1"/>
  <c r="E1390" i="1"/>
  <c r="E2836" i="1"/>
  <c r="G2836" i="1" s="1"/>
  <c r="E2838" i="1"/>
  <c r="G2838" i="1" s="1"/>
  <c r="E2837" i="1"/>
  <c r="G2837" i="1" s="1"/>
  <c r="G1418" i="1" l="1"/>
  <c r="G2851" i="1"/>
  <c r="G2846" i="1"/>
  <c r="G2835" i="1"/>
  <c r="G1638" i="1"/>
  <c r="G1559" i="1"/>
  <c r="G1447" i="1"/>
  <c r="G1581" i="1"/>
  <c r="G1414" i="1"/>
  <c r="G1433" i="1"/>
  <c r="E1379" i="1"/>
  <c r="G1379" i="1" s="1"/>
  <c r="G1378" i="1" s="1"/>
  <c r="E1369" i="1"/>
  <c r="G1369" i="1" s="1"/>
  <c r="G1368" i="1" s="1"/>
  <c r="E1362" i="1"/>
  <c r="G1362" i="1" s="1"/>
  <c r="E1361" i="1"/>
  <c r="G1361" i="1" s="1"/>
  <c r="E1360" i="1"/>
  <c r="G1360" i="1" s="1"/>
  <c r="E1359" i="1"/>
  <c r="G1359" i="1" s="1"/>
  <c r="E1350" i="1"/>
  <c r="G1350" i="1" s="1"/>
  <c r="E1349" i="1"/>
  <c r="G1349" i="1" s="1"/>
  <c r="E1339" i="1"/>
  <c r="G1339" i="1" s="1"/>
  <c r="G1338" i="1" s="1"/>
  <c r="E1326" i="1"/>
  <c r="G1326" i="1" s="1"/>
  <c r="E1325" i="1"/>
  <c r="G1325" i="1" s="1"/>
  <c r="E1324" i="1"/>
  <c r="G1324" i="1" s="1"/>
  <c r="E1323" i="1"/>
  <c r="G1323" i="1" s="1"/>
  <c r="E1316" i="1"/>
  <c r="G1316" i="1" s="1"/>
  <c r="G1315" i="1" s="1"/>
  <c r="E1301" i="1"/>
  <c r="G1301" i="1" s="1"/>
  <c r="E1300" i="1"/>
  <c r="G1300" i="1" s="1"/>
  <c r="E1293" i="1"/>
  <c r="G1293" i="1" s="1"/>
  <c r="E1292" i="1"/>
  <c r="G1292" i="1" s="1"/>
  <c r="E1289" i="1"/>
  <c r="G1289" i="1" s="1"/>
  <c r="E1284" i="1"/>
  <c r="E1276" i="1"/>
  <c r="G1276" i="1" s="1"/>
  <c r="E1275" i="1"/>
  <c r="G1275" i="1" s="1"/>
  <c r="E1273" i="1"/>
  <c r="G1273" i="1" s="1"/>
  <c r="E1255" i="1"/>
  <c r="G1255" i="1" s="1"/>
  <c r="G1254" i="1" s="1"/>
  <c r="E1246" i="1"/>
  <c r="G1246" i="1" s="1"/>
  <c r="G1245" i="1" s="1"/>
  <c r="E1238" i="1"/>
  <c r="G1238" i="1" s="1"/>
  <c r="G1237" i="1" s="1"/>
  <c r="E1231" i="1"/>
  <c r="G1231" i="1" s="1"/>
  <c r="E1230" i="1"/>
  <c r="G1230" i="1" s="1"/>
  <c r="E1222" i="1"/>
  <c r="G1222" i="1" s="1"/>
  <c r="E1221" i="1"/>
  <c r="G1221" i="1" s="1"/>
  <c r="E761" i="1"/>
  <c r="G761" i="1" s="1"/>
  <c r="E760" i="1"/>
  <c r="G760" i="1" s="1"/>
  <c r="E759" i="1"/>
  <c r="G759" i="1" s="1"/>
  <c r="E758" i="1"/>
  <c r="G758" i="1" s="1"/>
  <c r="E757" i="1"/>
  <c r="G757" i="1" s="1"/>
  <c r="E756" i="1"/>
  <c r="G756" i="1" s="1"/>
  <c r="E755" i="1"/>
  <c r="G755" i="1" s="1"/>
  <c r="E754" i="1"/>
  <c r="G754" i="1" s="1"/>
  <c r="E1203" i="1"/>
  <c r="G1203" i="1" s="1"/>
  <c r="G1201" i="1" s="1"/>
  <c r="E1193" i="1"/>
  <c r="G1193" i="1" s="1"/>
  <c r="E1192" i="1"/>
  <c r="G1192" i="1" s="1"/>
  <c r="E1185" i="1"/>
  <c r="G1185" i="1" s="1"/>
  <c r="E1184" i="1"/>
  <c r="G1184" i="1" s="1"/>
  <c r="E1172" i="1"/>
  <c r="G1172" i="1" s="1"/>
  <c r="E1171" i="1"/>
  <c r="G1171" i="1" s="1"/>
  <c r="E1170" i="1"/>
  <c r="G1170" i="1" s="1"/>
  <c r="E1161" i="1"/>
  <c r="G1161" i="1" s="1"/>
  <c r="G1160" i="1" s="1"/>
  <c r="E1145" i="1"/>
  <c r="G1145" i="1" s="1"/>
  <c r="E1126" i="1"/>
  <c r="G1126" i="1" s="1"/>
  <c r="G1125" i="1" s="1"/>
  <c r="E1119" i="1"/>
  <c r="G1119" i="1" s="1"/>
  <c r="G1118" i="1" s="1"/>
  <c r="E1108" i="1"/>
  <c r="G1108" i="1" s="1"/>
  <c r="G1107" i="1" s="1"/>
  <c r="E1091" i="1"/>
  <c r="G1091" i="1" s="1"/>
  <c r="E1090" i="1"/>
  <c r="G1090" i="1" s="1"/>
  <c r="E1079" i="1"/>
  <c r="G1079" i="1" s="1"/>
  <c r="E1078" i="1"/>
  <c r="G1078" i="1" s="1"/>
  <c r="E1077" i="1"/>
  <c r="G1077" i="1" s="1"/>
  <c r="E1076" i="1"/>
  <c r="G1076" i="1" s="1"/>
  <c r="E1075" i="1"/>
  <c r="G1075" i="1" s="1"/>
  <c r="E1068" i="1"/>
  <c r="G1068" i="1" s="1"/>
  <c r="G1067" i="1" s="1"/>
  <c r="E1056" i="1"/>
  <c r="G1056" i="1" s="1"/>
  <c r="E1055" i="1"/>
  <c r="G1055" i="1" s="1"/>
  <c r="E1054" i="1"/>
  <c r="G1054" i="1" s="1"/>
  <c r="E1045" i="1"/>
  <c r="G1045" i="1" s="1"/>
  <c r="E1043" i="1"/>
  <c r="G1043" i="1" s="1"/>
  <c r="E1033" i="1"/>
  <c r="G1033" i="1" s="1"/>
  <c r="E1034" i="1"/>
  <c r="G1034" i="1" s="1"/>
  <c r="E1018" i="1"/>
  <c r="G1018" i="1" s="1"/>
  <c r="E1017" i="1"/>
  <c r="G1017" i="1" s="1"/>
  <c r="E1016" i="1"/>
  <c r="G1016" i="1" s="1"/>
  <c r="G1228" i="1" l="1"/>
  <c r="G1233" i="1" s="1"/>
  <c r="G1426" i="1"/>
  <c r="G1299" i="1"/>
  <c r="G1304" i="1" s="1"/>
  <c r="G1453" i="1"/>
  <c r="G1183" i="1"/>
  <c r="G1187" i="1" s="1"/>
  <c r="G1089" i="1"/>
  <c r="G1015" i="1"/>
  <c r="G1028" i="1" s="1"/>
  <c r="G2841" i="1"/>
  <c r="G1220" i="1"/>
  <c r="G1347" i="1"/>
  <c r="G1358" i="1"/>
  <c r="G1364" i="1" s="1"/>
  <c r="G1191" i="1"/>
  <c r="G1053" i="1"/>
  <c r="G1063" i="1" s="1"/>
  <c r="G1318" i="1"/>
  <c r="G1128" i="1"/>
  <c r="G1250" i="1"/>
  <c r="G1322" i="1"/>
  <c r="G1382" i="1"/>
  <c r="G1121" i="1"/>
  <c r="G1070" i="1"/>
  <c r="G1272" i="1"/>
  <c r="G1074" i="1"/>
  <c r="G1169" i="1"/>
  <c r="G1240" i="1"/>
  <c r="G1287" i="1"/>
  <c r="G1144" i="1"/>
  <c r="G1259" i="1"/>
  <c r="G1032" i="1"/>
  <c r="G1374" i="1"/>
  <c r="G1343" i="1"/>
  <c r="G1165" i="1"/>
  <c r="G1114" i="1"/>
  <c r="G1209" i="1"/>
  <c r="G1042" i="1"/>
  <c r="E1006" i="1"/>
  <c r="G1006" i="1" s="1"/>
  <c r="E1005" i="1"/>
  <c r="G1005" i="1" s="1"/>
  <c r="E1004" i="1"/>
  <c r="G1004" i="1" s="1"/>
  <c r="E1003" i="1"/>
  <c r="G1003" i="1" s="1"/>
  <c r="E1002" i="1"/>
  <c r="G1002" i="1" s="1"/>
  <c r="E1001" i="1"/>
  <c r="G1001" i="1" s="1"/>
  <c r="E997" i="1"/>
  <c r="E986" i="1"/>
  <c r="G986" i="1" s="1"/>
  <c r="G985" i="1" s="1"/>
  <c r="E967" i="1"/>
  <c r="G967" i="1" s="1"/>
  <c r="E950" i="1"/>
  <c r="G950" i="1" s="1"/>
  <c r="G949" i="1" s="1"/>
  <c r="E936" i="1"/>
  <c r="G936" i="1" s="1"/>
  <c r="G935" i="1" s="1"/>
  <c r="E929" i="1"/>
  <c r="G929" i="1" s="1"/>
  <c r="G928" i="1" s="1"/>
  <c r="E921" i="1"/>
  <c r="G921" i="1" s="1"/>
  <c r="G920" i="1" s="1"/>
  <c r="E914" i="1"/>
  <c r="G914" i="1" s="1"/>
  <c r="G912" i="1" s="1"/>
  <c r="E906" i="1"/>
  <c r="G906" i="1" s="1"/>
  <c r="G905" i="1" s="1"/>
  <c r="E899" i="1"/>
  <c r="G899" i="1" s="1"/>
  <c r="E898" i="1"/>
  <c r="G898" i="1" s="1"/>
  <c r="E897" i="1"/>
  <c r="G897" i="1" s="1"/>
  <c r="E889" i="1"/>
  <c r="G889" i="1" s="1"/>
  <c r="E888" i="1"/>
  <c r="G888" i="1" s="1"/>
  <c r="E880" i="1"/>
  <c r="G880" i="1" s="1"/>
  <c r="E879" i="1"/>
  <c r="G879" i="1" s="1"/>
  <c r="E832" i="1"/>
  <c r="G832" i="1" s="1"/>
  <c r="G831" i="1" s="1"/>
  <c r="E825" i="1"/>
  <c r="G825" i="1" s="1"/>
  <c r="E824" i="1"/>
  <c r="G824" i="1" s="1"/>
  <c r="E787" i="1"/>
  <c r="G787" i="1" s="1"/>
  <c r="E786" i="1"/>
  <c r="G786" i="1" s="1"/>
  <c r="E778" i="1"/>
  <c r="G778" i="1" s="1"/>
  <c r="G776" i="1" s="1"/>
  <c r="E751" i="1"/>
  <c r="G751" i="1" s="1"/>
  <c r="E750" i="1"/>
  <c r="G750" i="1" s="1"/>
  <c r="E731" i="1"/>
  <c r="G731" i="1" s="1"/>
  <c r="G730" i="1" s="1"/>
  <c r="E724" i="1"/>
  <c r="G724" i="1" s="1"/>
  <c r="G723" i="1" s="1"/>
  <c r="E660" i="1"/>
  <c r="G660" i="1" s="1"/>
  <c r="E658" i="1"/>
  <c r="G658" i="1" s="1"/>
  <c r="E657" i="1"/>
  <c r="G657" i="1" s="1"/>
  <c r="E615" i="1"/>
  <c r="G615" i="1" s="1"/>
  <c r="G613" i="1" s="1"/>
  <c r="E591" i="1"/>
  <c r="G591" i="1" s="1"/>
  <c r="E590" i="1"/>
  <c r="G590" i="1" s="1"/>
  <c r="E578" i="1"/>
  <c r="G578" i="1" s="1"/>
  <c r="G575" i="1" s="1"/>
  <c r="E549" i="1"/>
  <c r="G549" i="1" s="1"/>
  <c r="E548" i="1"/>
  <c r="G548" i="1" s="1"/>
  <c r="E539" i="1"/>
  <c r="G539" i="1" s="1"/>
  <c r="E541" i="1"/>
  <c r="G541" i="1" s="1"/>
  <c r="E540" i="1"/>
  <c r="G540" i="1" s="1"/>
  <c r="E538" i="1"/>
  <c r="G538" i="1" s="1"/>
  <c r="E537" i="1"/>
  <c r="G537" i="1" s="1"/>
  <c r="E523" i="1"/>
  <c r="G523" i="1" s="1"/>
  <c r="E522" i="1"/>
  <c r="G522" i="1" s="1"/>
  <c r="E521" i="1"/>
  <c r="G521" i="1" s="1"/>
  <c r="G1095" i="1" l="1"/>
  <c r="G878" i="1"/>
  <c r="G1156" i="1"/>
  <c r="G1197" i="1"/>
  <c r="G1224" i="1"/>
  <c r="G1354" i="1"/>
  <c r="G649" i="1"/>
  <c r="G886" i="1"/>
  <c r="G891" i="1" s="1"/>
  <c r="G1038" i="1"/>
  <c r="G589" i="1"/>
  <c r="G520" i="1"/>
  <c r="G525" i="1" s="1"/>
  <c r="G823" i="1"/>
  <c r="G785" i="1"/>
  <c r="G789" i="1" s="1"/>
  <c r="G1334" i="1"/>
  <c r="G1179" i="1"/>
  <c r="G1085" i="1"/>
  <c r="G547" i="1"/>
  <c r="G1283" i="1"/>
  <c r="G1295" i="1"/>
  <c r="G1000" i="1"/>
  <c r="G916" i="1"/>
  <c r="G924" i="1"/>
  <c r="G931" i="1"/>
  <c r="G834" i="1"/>
  <c r="G938" i="1"/>
  <c r="G952" i="1"/>
  <c r="G726" i="1"/>
  <c r="G989" i="1"/>
  <c r="G908" i="1"/>
  <c r="G882" i="1"/>
  <c r="G733" i="1"/>
  <c r="G781" i="1"/>
  <c r="G749" i="1"/>
  <c r="G895" i="1"/>
  <c r="G1047" i="1"/>
  <c r="G963" i="1"/>
  <c r="G536" i="1"/>
  <c r="G585" i="1"/>
  <c r="G620" i="1"/>
  <c r="E494" i="1"/>
  <c r="G494" i="1" s="1"/>
  <c r="G493" i="1" s="1"/>
  <c r="E2820" i="1"/>
  <c r="G2820" i="1" s="1"/>
  <c r="E2819" i="1"/>
  <c r="G2819" i="1" s="1"/>
  <c r="G2818" i="1"/>
  <c r="E2817" i="1"/>
  <c r="G2817" i="1" s="1"/>
  <c r="E470" i="1"/>
  <c r="G470" i="1" s="1"/>
  <c r="G670" i="1" l="1"/>
  <c r="G593" i="1"/>
  <c r="G2816" i="1"/>
  <c r="G827" i="1"/>
  <c r="G2822" i="1"/>
  <c r="G553" i="1"/>
  <c r="G976" i="1"/>
  <c r="G772" i="1"/>
  <c r="G901" i="1"/>
  <c r="G1011" i="1"/>
  <c r="G543" i="1"/>
  <c r="G498" i="1"/>
  <c r="G469" i="1"/>
  <c r="E356" i="1"/>
  <c r="G356" i="1" s="1"/>
  <c r="E357" i="1"/>
  <c r="G357" i="1" s="1"/>
  <c r="E346" i="1"/>
  <c r="G346" i="1" s="1"/>
  <c r="E317" i="1"/>
  <c r="G317" i="1" s="1"/>
  <c r="E316" i="1"/>
  <c r="G316" i="1" s="1"/>
  <c r="E315" i="1"/>
  <c r="G315" i="1" s="1"/>
  <c r="E314" i="1"/>
  <c r="G314" i="1" s="1"/>
  <c r="E313" i="1"/>
  <c r="G313" i="1" s="1"/>
  <c r="E304" i="1"/>
  <c r="G304" i="1" s="1"/>
  <c r="E303" i="1"/>
  <c r="G303" i="1" s="1"/>
  <c r="G472" i="1" l="1"/>
  <c r="G310" i="1"/>
  <c r="G302" i="1"/>
  <c r="G342" i="1"/>
  <c r="G354" i="1"/>
  <c r="G350" i="1" l="1"/>
  <c r="G306" i="1"/>
  <c r="G327" i="1"/>
  <c r="G361" i="1"/>
  <c r="G21" i="1"/>
  <c r="G2935" i="1" l="1"/>
  <c r="G2936" i="1" l="1"/>
  <c r="G2937" i="1" s="1"/>
</calcChain>
</file>

<file path=xl/sharedStrings.xml><?xml version="1.0" encoding="utf-8"?>
<sst xmlns="http://schemas.openxmlformats.org/spreadsheetml/2006/main" count="6480" uniqueCount="2640">
  <si>
    <t>UBND THÀNH PHỐ TÂY NINH</t>
  </si>
  <si>
    <t>CỘNG HÒA XÃ HỘI CHỦ NGHĨA VIỆT NAM</t>
  </si>
  <si>
    <t>TRUNG TÂM PHÁT TRIỂN QUỸ ĐẤT</t>
  </si>
  <si>
    <t>Độc lập - Tự do - Hạnh phúc</t>
  </si>
  <si>
    <t xml:space="preserve">DỰ THẢO PHƯƠNG ÁN BỒI THƯỜNG, HỖ TRỢ </t>
  </si>
  <si>
    <t>Stt</t>
  </si>
  <si>
    <t>Họ và tên</t>
  </si>
  <si>
    <t>Hạng mục</t>
  </si>
  <si>
    <t>Đvt</t>
  </si>
  <si>
    <t>Khối 
lượng</t>
  </si>
  <si>
    <t>Đơn giá
(đồng)</t>
  </si>
  <si>
    <t>Thành tiền
(đồng)</t>
  </si>
  <si>
    <t>Ghi chú</t>
  </si>
  <si>
    <r>
      <t>m</t>
    </r>
    <r>
      <rPr>
        <vertAlign val="superscript"/>
        <sz val="12"/>
        <rFont val="Times New Roman"/>
        <family val="1"/>
      </rPr>
      <t>2</t>
    </r>
  </si>
  <si>
    <t>Bồi thường đất</t>
  </si>
  <si>
    <t>Trong đó:</t>
  </si>
  <si>
    <t>Cổng rào</t>
  </si>
  <si>
    <t>Hỗ trợ di dời</t>
  </si>
  <si>
    <t>Bảng hiệu</t>
  </si>
  <si>
    <t>md</t>
  </si>
  <si>
    <t>Hoa màu, cây trái</t>
  </si>
  <si>
    <t>cây</t>
  </si>
  <si>
    <t>chậu</t>
  </si>
  <si>
    <t>Hỗ trợ</t>
  </si>
  <si>
    <t>Hỗ trợ ổn định đời sống</t>
  </si>
  <si>
    <t>kg gạo</t>
  </si>
  <si>
    <t>Tổng số tiền bồi thường, hỗ trợ</t>
  </si>
  <si>
    <t>Dự án: Nâng cấp, mở rộng đường Bời Lời (đoạn từ ngã ba Lâm Vồ đế ngã tư Đại Đồng), thành phố Tây Ninh</t>
  </si>
  <si>
    <t>Địa điểm: Phường Ninh Sơn, thành phố Tây Ninh</t>
  </si>
  <si>
    <t>Đinh Thị Hằng</t>
  </si>
  <si>
    <t>CCCD: 072175001656</t>
  </si>
  <si>
    <t>Năm sinh: 1975
Nghề nghiệp: Buôn bán</t>
  </si>
  <si>
    <t>Đc: Số 801 đường Bời Lời, khu phố Ninh An, phường Ninh Sơn, thành phố Tây Ninh, tỉnh Tây Ninh</t>
  </si>
  <si>
    <t>ĐT: 0395342234</t>
  </si>
  <si>
    <t>Thửa đất hiện trạng số 360
(Trích từ thửa đất số 172, tờ BĐĐC số 41)</t>
  </si>
  <si>
    <t>Nhà, công trình, vật kiến trúc</t>
  </si>
  <si>
    <t>Chậu kiểng bằng nhựa</t>
  </si>
  <si>
    <t>Cây bàng 10 năm tuổi, đường kính 20cm</t>
  </si>
  <si>
    <t>Đất ở tại đô thị tiếp giáp đường Bời Lời</t>
  </si>
  <si>
    <t>Vương Bá Nguyên</t>
  </si>
  <si>
    <t>CCCD: 072085008254</t>
  </si>
  <si>
    <t>Đc: Số 799 đường Bời Lời, khu phố Ninh An, phường Ninh Sơn, thành phố Tây Ninh, tỉnh Tây Ninh</t>
  </si>
  <si>
    <t>SĐT: 0941841657</t>
  </si>
  <si>
    <t>Thửa đất hiện trạng số 361
(Trích từ thửa đất số 173, tờ BĐĐC số 41)</t>
  </si>
  <si>
    <t xml:space="preserve">Nền xi măng </t>
  </si>
  <si>
    <t>Cây bằng lăng đường kính 10cm</t>
  </si>
  <si>
    <t>Cây mai vàng đường kính 1cm cao trên 1m</t>
  </si>
  <si>
    <t>Cây mai vàng đường kính 1cm cao 1m</t>
  </si>
  <si>
    <t>Số phát hành GCN: DQ 599437
Số vào sổ: CN 20972
Ngày cấp: 20/12/2024</t>
  </si>
  <si>
    <t>Võ Thị Thu Trang</t>
  </si>
  <si>
    <t>Năm sinh: 1976
Nghề nghiệp: Buôn bán</t>
  </si>
  <si>
    <t>CCCD: 072176010178</t>
  </si>
  <si>
    <t>Đc: Số 797 đường Bời Lời, khu phố Ninh An, phường Ninh Sơn, thành phố Tây Ninh, tỉnh Tây Ninh</t>
  </si>
  <si>
    <t>SĐT: 0976552110</t>
  </si>
  <si>
    <t>Thửa đất hiện trạng số 362
(Trích từ thửa đất số 174, tờ BĐĐC số 41)</t>
  </si>
  <si>
    <t>Đất trồng cây lâu năm tiếp giáp đường Bời Lời</t>
  </si>
  <si>
    <t>Số phát hành GCN: BN 592237
Số vào sổ: CH 02403
Ngày cấp: 15/5/2013</t>
  </si>
  <si>
    <t>Nền xi măng (xây dựng năm 2003)</t>
  </si>
  <si>
    <t>Mái che khung sắt tiền chế: mái tôn, không vách, nền gạch tàu (xây dựng năm 2003)</t>
  </si>
  <si>
    <t>Chậu kiểng (xi măng) đường kính 80cm</t>
  </si>
  <si>
    <t>Chậu kiểng (xi măng) đường kính 70cm</t>
  </si>
  <si>
    <t>Chậu kiểng (xi măng) đường kính 40cm</t>
  </si>
  <si>
    <t>Cây bàng đường kính 35cm</t>
  </si>
  <si>
    <t>Nguyễn Thị Ánh Nguyệt</t>
  </si>
  <si>
    <t xml:space="preserve">Số phát hành GCN: 
Số vào sổ: 
Ngày cấp: </t>
  </si>
  <si>
    <t xml:space="preserve">Năm sinh: 
Nghề nghiệp: </t>
  </si>
  <si>
    <t>CCCD:</t>
  </si>
  <si>
    <t xml:space="preserve">SĐT: </t>
  </si>
  <si>
    <t>Năm sinh: 1987
Nghề nghiệp: Buôn bán</t>
  </si>
  <si>
    <t>CCCD: 072187007114</t>
  </si>
  <si>
    <t>Đc: Số 370 đường Phạm Hùng, khu phố Long Chí, phường Long Trung, thị xã Hòa Thành, tỉnh Tây Ninh</t>
  </si>
  <si>
    <t>SĐT: 0918192094</t>
  </si>
  <si>
    <t>Thửa đất hiện trạng số 363
(Trích từ thửa đất số 175, tờ BĐĐC số 41)</t>
  </si>
  <si>
    <t>Hộ dân đề nghị bồi thường đất ở</t>
  </si>
  <si>
    <t>Số phát hành GCN: DL 861167
Số vào sổ: CN18662
Ngày cấp: 25/7/2023</t>
  </si>
  <si>
    <t>Nền đá hoa cương (xây dựng năm 2023)</t>
  </si>
  <si>
    <t>Thửa đất hiện trạng số 364
(Trích từ thửa đất số 154, tờ BĐĐC số 41)</t>
  </si>
  <si>
    <t>Võ Minh Phước</t>
  </si>
  <si>
    <t>Năm sinh: 1984</t>
  </si>
  <si>
    <t>CCCD: 072084018671</t>
  </si>
  <si>
    <t>Đc: Số 793 đường Bời Lời, khu phố Ninh An, phường Ninh Sơn, thành phố Tây Ninh, tỉnh Tây Ninh</t>
  </si>
  <si>
    <t>SĐT: 0975701816</t>
  </si>
  <si>
    <t>Số phát hành GCN: BP 451217
Số vào sổ: CH03154
Ngày cấp: 07/01/2014</t>
  </si>
  <si>
    <t>Mái che khung sắt tiền chế: mái tôn, không vách, nền gạch Terrazzo (xây dựng năm 2015)</t>
  </si>
  <si>
    <t>Khung sắt lưới B40</t>
  </si>
  <si>
    <t>Hộ dân đề nghị bồi thường đất ở và bồi thường toàn bộ căn nhà</t>
  </si>
  <si>
    <t>Huỳnh Thị Hường</t>
  </si>
  <si>
    <t>Năm sinh: 1970</t>
  </si>
  <si>
    <t>CCCD: 072170003918</t>
  </si>
  <si>
    <t>Đc: Số 791 đường Bời Lời, khu phố Ninh An, phường Ninh Sơn, thành phố Tây Ninh, tỉnh Tây Ninh</t>
  </si>
  <si>
    <t>SĐT: 0906701701 (Anh Oanh)</t>
  </si>
  <si>
    <t>Nhà cấp 4: (Mua đất có sẳn nhà)
Kết cấu: Móng gạch, tường gạch có tô + sơn bê + dán gạch kích thước 30cm x 60cm, nền gạch men 60cm x 60cm, trần tấm nhựa thả, cửa sắt kéo + cửa sắt kính</t>
  </si>
  <si>
    <t>Diện tích bồi thường</t>
  </si>
  <si>
    <t>Diện tích bồi thường hết nhịp</t>
  </si>
  <si>
    <t>Mái che khung sắt tiền chế, mái lợp tôn, trần tấm nhựa thả, nền xi măng</t>
  </si>
  <si>
    <t xml:space="preserve">Diện tích nằm trong phạm vi từ lộ giới 27m đến lộ giới 31m </t>
  </si>
  <si>
    <r>
      <t>Diện tích ảnh hưởng trong phạm vi lộ giới 27m đến lộ giới 31m = 0,96m</t>
    </r>
    <r>
      <rPr>
        <vertAlign val="superscript"/>
        <sz val="11"/>
        <rFont val="Times New Roman"/>
        <family val="1"/>
      </rPr>
      <t>2</t>
    </r>
  </si>
  <si>
    <t>Thửa đất hiện trạng số 366
(Trích từ thửa đất số 1227, tờ BĐĐC số 41)</t>
  </si>
  <si>
    <t>Năm sinh: 1970
Nghề nghiệp: Nội trợ</t>
  </si>
  <si>
    <t>CCCD: 001170027542</t>
  </si>
  <si>
    <t>Đc: Số 581 đường 30/4, khu phố Ninh Trung, phường Ninh Sơn, thành phố Tây Ninh, tỉnh Tây Ninh</t>
  </si>
  <si>
    <t>SĐT: 0903197292</t>
  </si>
  <si>
    <t>Mái che khung sắt, cột sắt, mái bạc kéo, không vách, nền gạch Terrazzo (xây dựng năm 2023)</t>
  </si>
  <si>
    <t>Nền bê tông đá 4x6</t>
  </si>
  <si>
    <r>
      <t>m</t>
    </r>
    <r>
      <rPr>
        <vertAlign val="superscript"/>
        <sz val="12"/>
        <rFont val="Times New Roman"/>
        <family val="1"/>
      </rPr>
      <t>3</t>
    </r>
    <r>
      <rPr>
        <sz val="11"/>
        <color theme="1"/>
        <rFont val="Calibri"/>
        <family val="2"/>
        <charset val="163"/>
        <scheme val="minor"/>
      </rPr>
      <t/>
    </r>
  </si>
  <si>
    <t>Đồng hồ nước</t>
  </si>
  <si>
    <t>cái</t>
  </si>
  <si>
    <t>Hộ dân đề nghị bồi thường đất trồng cây lâu năm</t>
  </si>
  <si>
    <t>Nguyễn Thị Lượng</t>
  </si>
  <si>
    <t>Năm sinh: 1966</t>
  </si>
  <si>
    <t>CCCD: 072116600713</t>
  </si>
  <si>
    <t>Đc: Số 789 đường Bời Lời, khu phố Ninh An, phường Ninh Sơn, thành phố Tây Ninh, tỉnh Tây Ninh</t>
  </si>
  <si>
    <t>SĐT: 0393834132</t>
  </si>
  <si>
    <t>Số phát hành GCN: DG 518985
Số vào sổ: 
Ngày cấp: 26/7/2022</t>
  </si>
  <si>
    <t>Mái che khung sắt tiền chế: Mái tôn, vách tôn+ tường xây gạch có tô + khung sắt, nền gạch tàu + nền xi măng (xây dựng năm 2003)</t>
  </si>
  <si>
    <t>Cổng rào sắt</t>
  </si>
  <si>
    <t xml:space="preserve">Ống nhựa PVC đường kính 114mm </t>
  </si>
  <si>
    <t xml:space="preserve">Ống nhựa PVC đường kính 90mm </t>
  </si>
  <si>
    <t>Võ Thị Bình</t>
  </si>
  <si>
    <t>Năm sinh: 1980
Nghề nghiệp: Buôn bán</t>
  </si>
  <si>
    <t>CCCD: 072180009208</t>
  </si>
  <si>
    <t>Đc: Số 82/1 đường 25, khu phố Ninh Lộc, phường Ninh Sơn, thành phố Tây Ninh, tỉnh Tây Ninh</t>
  </si>
  <si>
    <t>SĐT: 0913888552</t>
  </si>
  <si>
    <t>Thửa đất hiện trạng số 358
(Trích từ thửa đất số 720, tờ BĐĐC số 41)</t>
  </si>
  <si>
    <t>Số phát hành GCN: BP 406682
Số vào sổ: CH02667
Ngày cấp: 12/8/2013</t>
  </si>
  <si>
    <t>Nhà cấp 4: Xây dựng năm 2000
Kết cấu: Móng, khung, cột, đà BTCT, mái tôn, có đóng trần, tường xây gạch có tô + sơn bê, nền gạch men, cửa sắt cuốn, có nhà vệ sinh trong nhà</t>
  </si>
  <si>
    <t>Sê nô (dày 0,1m) trong phạm vi từ lộ giới 27m đến lộ giới 31m</t>
  </si>
  <si>
    <t>Mái che khung sắt tiền chế: mái tôn, không vách nền gạch Terrazzo (xây dựng năm 2000)</t>
  </si>
  <si>
    <r>
      <t>m</t>
    </r>
    <r>
      <rPr>
        <vertAlign val="superscript"/>
        <sz val="12"/>
        <rFont val="Times New Roman"/>
        <family val="1"/>
      </rPr>
      <t>3</t>
    </r>
  </si>
  <si>
    <t>Ông Nguyễn Phương Tâm</t>
  </si>
  <si>
    <t>Năm sinh: 1960
Nghề nghiệp: Buôn bán</t>
  </si>
  <si>
    <t>CCCD: 052060000007</t>
  </si>
  <si>
    <t>Đc: Số 781 đường Bời Lời, khu phố Ninh An, phường Ninh Sơn, thành phố Tây Ninh, tỉnh Tây Ninh</t>
  </si>
  <si>
    <t>SĐT: 0909861652</t>
  </si>
  <si>
    <t>Thửa đất hiện trạng số 357
(Trích từ thửa đất số 1267, tờ BĐĐC số 41)</t>
  </si>
  <si>
    <t>Số vào sổ: 03269 QSDĐ/D3
Ngày cấp: 25/7/1995</t>
  </si>
  <si>
    <t>Đinh Thị Bốn</t>
  </si>
  <si>
    <t>CCCD: 072169009565</t>
  </si>
  <si>
    <t>Số phát hành GCN: CY 690877
Số vào sổ: CS13322
Ngày cấp: 28/10/2020</t>
  </si>
  <si>
    <t>Bà Phan Sao Mai</t>
  </si>
  <si>
    <t>Số phát hành GCN: DH 716590
Số vào sổ: CS17638
Ngày cấp: 24/11/2022</t>
  </si>
  <si>
    <t>Mái che khung sắt tiền chế: Mái tôn, không vách, nền xi măng (xây dựng năm 2009)</t>
  </si>
  <si>
    <t>Võ Trung Hậu</t>
  </si>
  <si>
    <t>Năm sinh: 1982
Nghề nghiệp: Làm ruộng</t>
  </si>
  <si>
    <t>CCCD: 072082007111</t>
  </si>
  <si>
    <t>Đc: Số 785 đường Bời Lời, khu phố Ninh An, phường Ninh Sơn, thành phố Tây Ninh, tỉnh Tây Ninh</t>
  </si>
  <si>
    <t>SĐT: 0382332328</t>
  </si>
  <si>
    <t>Số phát hành GCN: DM 537276
Số vào sổ: VP19171
Ngày cấp: 14/11/2023</t>
  </si>
  <si>
    <t>Thửa đất hiện trạng số 355
(Trích từ thửa đất số 158, tờ BĐĐC số 41)</t>
  </si>
  <si>
    <r>
      <t xml:space="preserve">02 người cùng sử dụng đất:
Võ Trung Hậu
</t>
    </r>
    <r>
      <rPr>
        <sz val="12"/>
        <rFont val="Times New Roman"/>
        <family val="1"/>
      </rPr>
      <t>Năm sinh: 1982
CCCD: 07208200711</t>
    </r>
    <r>
      <rPr>
        <b/>
        <sz val="12"/>
        <rFont val="Times New Roman"/>
        <family val="1"/>
        <charset val="163"/>
      </rPr>
      <t xml:space="preserve">
Võ Thị Bảo Trân
</t>
    </r>
    <r>
      <rPr>
        <sz val="12"/>
        <rFont val="Times New Roman"/>
        <family val="1"/>
      </rPr>
      <t>Năm sinh: 2004
CCCD: 072304010639</t>
    </r>
  </si>
  <si>
    <t>Đc: Khu phố Ninh An, phường Ninh Sơn, thành phố Tây Ninh, tỉnh Tây Ninh (Số nhà 783 và 785 đường Bời Lời)</t>
  </si>
  <si>
    <t>SĐT: 0912678500 (Trân)</t>
  </si>
  <si>
    <t>Thửa đất hiện trạng số 349
(Trích từ thửa đất số 1269, tờ BĐĐC số 41)</t>
  </si>
  <si>
    <t>Số phát hành GCN: DN 637010 và…......
Số vào sổ: CN19477
Ngày cấp: 22/01/2024</t>
  </si>
  <si>
    <t>Bà Đinh Thị Kim Tuyến và các đồng thừa kế của ông Võ Văn Sang</t>
  </si>
  <si>
    <t>Năm sinh: 1970
Nghề nghiệp: Làm mướn</t>
  </si>
  <si>
    <t>CCCD: 072170009817</t>
  </si>
  <si>
    <t>Đc: 783 đường Bời Lời, khu phố Ninh An, phường Ninh Sơn, thành phố Tây Ninh, tỉnh Tây Ninh</t>
  </si>
  <si>
    <t>Số phát hành GCN: AC 421404
Số vào sổ: H 00410
Ngày cấp: 29/6/2005</t>
  </si>
  <si>
    <t>Đất trống</t>
  </si>
  <si>
    <t>Nhà cấp 4: Xây dựng năm 2023
Kết cấu: Móng gạch, trần tấm nhựa thả, tường tấm cemboard + khung sắt, nền gạch men, cửa sắt cuốn, không có phòng vệ sinh trong nhà.</t>
  </si>
  <si>
    <t>Diện tích bồi thường đến nhịp cột</t>
  </si>
  <si>
    <t>Nhà cấp 4: Xây dựng năm 2015, không có giấy phép xây dựng
Kết cấu: Móng gạch, cột gạch, tường xây gạch có tô + quét vôi, cây kèo gỗ, mái tôn, không trần, nền gạch tàu, cửa sắt cuốn, không có nhà vệ sinh trong nhà.</t>
  </si>
  <si>
    <t>Diện tích nằm trong phạm vi lộ giới 27m đã giải phóng mặt bằng</t>
  </si>
  <si>
    <t>Nhà cấp 4: Xây dựng năm 2003, không có giấy phép xây dựng)
Kết cấu: Móng gạch, cột gạch, mái tôn, trần tấm nhựa thả, tường xây gạch có tô + sơn bê, nền gạch tàu, cửa kéo xếp, mặt dựng ốp gạch men, nhà vệ sinh bên ngoài</t>
  </si>
  <si>
    <t>Nhà cấp 3: Xây dựng năm 2009, không có GPXD
Kết cấu: Móng gạch + BTCT, cột BTCT, đà BTCT, sàn BTCT, tường xây gạch sơn nước, nền gạch men, trần tôn lạnh (tầng trệt), mái tôn, cửa sắt cuốn, có nhà vệ sinh bên trong (nhà 2 tầng)</t>
  </si>
  <si>
    <t>Nguyễn Quốc Minh</t>
  </si>
  <si>
    <t xml:space="preserve">Năm sinh: 1977
Nghề nghiệp: Giáo viên </t>
  </si>
  <si>
    <t>CCCD: 072077008958</t>
  </si>
  <si>
    <t>SĐT: 0397344951</t>
  </si>
  <si>
    <t>Võ Thị Ngọc Diễm</t>
  </si>
  <si>
    <t>Năm sinh: 1979
Nghề nghiệp: Công nhân</t>
  </si>
  <si>
    <t>CCCD: 072179000898</t>
  </si>
  <si>
    <t>Đc: Số 775 đường Bời Lời, khu phố Ninh An, phường Ninh Sơn, thành phố Tây Ninh, tỉnh Tây Ninh</t>
  </si>
  <si>
    <t>Số phát hành GCN: AC 639494
Số vào sổ: H 00405/NS
Ngày cấp: 29/6/2005</t>
  </si>
  <si>
    <t>Nhà cấp 4: Xây dựng năm 2006
Kết cấu: Móng gạch, cột gạch, tường xây gạch có tô, không sơn bê, trần tấm nhựa thả, nền gạch men, cửa kéo xếp</t>
  </si>
  <si>
    <t>Diện tích xây dựng phạm vi lộ giới 27m đã giải phóng mặt bằng</t>
  </si>
  <si>
    <t>Diện tích ảnh hưởng thuộc phạm vi lộ giới 27m đến lộ giới 31m</t>
  </si>
  <si>
    <t>Thửa đất hiện trạng số 348
(Trích từ thửa đất số 895, tờ BĐĐC số 4)</t>
  </si>
  <si>
    <t>Không bồi thường</t>
  </si>
  <si>
    <t>Năm sinh: 1979</t>
  </si>
  <si>
    <t>CCCD: 07907900004</t>
  </si>
  <si>
    <t>Đc: Số 777 đường Bời Lời, khu phố Ninh An, phường Ninh Sơn, thành phố Tây Ninh, tỉnh Tây Ninh</t>
  </si>
  <si>
    <t>SĐT: 0989266577</t>
  </si>
  <si>
    <t>Nhà cấp 4: Xây dựng năm 2019
Kết cấu: Móng gạch, cột gạch, tường xây gạch có tô + quét vôi +  ốp gạch men (không đủ quy cách của gạch cộng thêm), nền gạch men, mái lợp tôn, có trần, cửa kéo xếp, nhà vệ sinh bên trong nhà</t>
  </si>
  <si>
    <t>Diện tích nhà ảnh hưởng trong phạm vi lộ giới từ 27m đến lộ giới 31m</t>
  </si>
  <si>
    <t>Hàng rào lưới B40, trụ xây gạch, móng xây gạch</t>
  </si>
  <si>
    <t>Trụ cổng</t>
  </si>
  <si>
    <t>Tô trụ cổng</t>
  </si>
  <si>
    <t>Tường xây gạch ống không tô</t>
  </si>
  <si>
    <t>Tô tường</t>
  </si>
  <si>
    <t>Cây phát tài đường kính 3cm, cao trên 2m</t>
  </si>
  <si>
    <t>Cây mai vàng đường kính dưới 1cm</t>
  </si>
  <si>
    <t>Cây mai chiếu thủy đường kính 2cm</t>
  </si>
  <si>
    <t>Hoa kiểng các loại</t>
  </si>
  <si>
    <t>Chậu kiểng đường kính 80cm</t>
  </si>
  <si>
    <t>Chậu kiểng đường kính 40cm</t>
  </si>
  <si>
    <t>Chậu kiểng đường kính 20cm</t>
  </si>
  <si>
    <t>Số phát hành GCN: BD 625421
Số vào sổ: CH00920
Ngày cấp: 06/01/2011</t>
  </si>
  <si>
    <t>Thửa đất hiện trạng số 347
(Trích từ thửa đất số 140, tờ BĐĐC số 41)</t>
  </si>
  <si>
    <t>Nguyễn Văn Diên</t>
  </si>
  <si>
    <t>Năm sinh: 1978
Nghề nghiệp: Kinh doanh</t>
  </si>
  <si>
    <t>CCCD: 072078013313</t>
  </si>
  <si>
    <t>Nguyễn Hà Phương Linh</t>
  </si>
  <si>
    <t>CCCD: 072177000079</t>
  </si>
  <si>
    <t>Năm sinh: 1977
Nghề nghiệp: Kinh doanh</t>
  </si>
  <si>
    <t>Thửa đất hiện trạng số 359
(Trích từ thửa đất số 139, tờ BĐĐC số 41)</t>
  </si>
  <si>
    <t>Số phát hành GCN: CV 885395
Số vào sổ: CS 12815
Ngày cấp: 23/7/2020</t>
  </si>
  <si>
    <t>Nhà cấp 4: Xây dựng năm 2012, không có giấy phép xây dựng.
Kết cấu: Móng gạch, cột gạch, tường xây gạch có tô + sơn bê, phía trên có vách khung nhôm sắt kính, trần tôn lạnh, cửa nhôm kính, nền gạch men, không có phòng vệ sinh bên trong</t>
  </si>
  <si>
    <t>Diện tích ảnh hưởng</t>
  </si>
  <si>
    <t>Mái che khung sắt tiền chế: Mái tôn, không vách, nền gạch Terrazzo (xây dựng năm 2012)</t>
  </si>
  <si>
    <t>Diện tích bồi thường trong phạm vi từ ranh 27m trở vào</t>
  </si>
  <si>
    <t>Đặng Thanh Kỳ</t>
  </si>
  <si>
    <t>Năm sinh: 1953</t>
  </si>
  <si>
    <t>CCCD: 052053000005</t>
  </si>
  <si>
    <t>Bùi Thị Thùy Trang</t>
  </si>
  <si>
    <t>Đc: Số 771 đường Bời Lời, khu phố Ninh An, phường Ninh Sơn, thành phố Tây Ninh, tỉnh Tây Ninh</t>
  </si>
  <si>
    <t>Thửa đất hiện trạng số 333
(Trích từ thửa đất số 141, tờ BĐĐC số 42)</t>
  </si>
  <si>
    <t>Thửa đất hiện trạng số 334
(Trích từ thửa đất số 140, tờ BĐĐC số 42)</t>
  </si>
  <si>
    <t>Hàng rào lưới B40, trụ sắt, không xây chân</t>
  </si>
  <si>
    <t>Hàng rào lưới B40, trụ bê tông đúc sẳn, móng xây gạch</t>
  </si>
  <si>
    <t>Thửa đất số 333</t>
  </si>
  <si>
    <t>Mái che khung sắt tiền chế: mái tôn, không vách, nền xi măng</t>
  </si>
  <si>
    <t>Diện tích ảnh hưởng từ ranh lộ giới 27m đến ranh lộ giới 31m</t>
  </si>
  <si>
    <t>Hàng rào song sắt trụ xây gạch móng xây gạch</t>
  </si>
  <si>
    <t>Hàng rào xây gạch cao 2,4m dày 100mm trụ xây gạch móng xây gạch có tô 2 mặt</t>
  </si>
  <si>
    <t>Cộng thêm phần cao trên 2m của hàng rào xây gạch</t>
  </si>
  <si>
    <t>Thửa đất hiện trạng số 350
(Trích từ thửa đất số 1270, tờ BĐĐC số 41)</t>
  </si>
  <si>
    <t>Hộ dân đề nghị thu hồi đất ở tại đô thị</t>
  </si>
  <si>
    <t>Số phát hành GCN: DN 698295
Số vào sổ: VP 19464
Ngày cấp: 23/01/2024</t>
  </si>
  <si>
    <t>Nhà cấp 4: Xây dựng năm 1999
Kết cấu: Móng gạch, cột gạch + BTCT, nền gạch men, mái lợp tôn, cửa sắt cuốn, trần tấm nhựa thả, không có nhà vệ sinh bên trong</t>
  </si>
  <si>
    <t>m3</t>
  </si>
  <si>
    <t>Trụ cổng xây gạch</t>
  </si>
  <si>
    <t>Ốp đá chẽ trụ cổng</t>
  </si>
  <si>
    <t>m2</t>
  </si>
  <si>
    <t xml:space="preserve"> </t>
  </si>
  <si>
    <t>Năm sinh: 1964
Nghề nghiệp: CB Hưu trí</t>
  </si>
  <si>
    <t>CCCD: 04964000574</t>
  </si>
  <si>
    <t>Đc: 763 đường Bời Lời, khu phố Ninh An, phường Ninh Sơn, thành phố Tây Ninh, tỉnh Tây Ninh</t>
  </si>
  <si>
    <t>Thửa đất hiện trạng số 341
(Trích từ thửa đất số 659, tờ BĐĐC số 41)</t>
  </si>
  <si>
    <t>Số phát hành GCN: CV995543
Số vào sổ: CS12746
Ngày cấp: 16/7/2020</t>
  </si>
  <si>
    <t>Mái che khung sắt tiền chế, mái tôn, không vách, nền xi măng (Xây dựng năm 2018)</t>
  </si>
  <si>
    <t>Diện tích nằm trong phạm vi từ 27m đến 31m</t>
  </si>
  <si>
    <t>Mái che khung sắt tiền chế, mái tôn, không vách, nền xi măng, trần tôn lạnh (Xây dựng năm 2018)</t>
  </si>
  <si>
    <t>Hàng rào xây gạch nằm trong phạm vi từ 27m đến 31m</t>
  </si>
  <si>
    <t>Đan bê tông đúc sẳn</t>
  </si>
  <si>
    <t>ốp gạch men</t>
  </si>
  <si>
    <t>Cây phát tài đường kính 15cm, cao trên 1,5m</t>
  </si>
  <si>
    <t>Mai Xuân Nhàn
Nguyễn Thị Phương Thu</t>
  </si>
  <si>
    <t>Phạm Ngọc Lài</t>
  </si>
  <si>
    <t>Năm sinh: 1980
Nghề nghiệp: Kiến trúc sư</t>
  </si>
  <si>
    <t>Đc: 761 đường Bời Lời, khu phố Ninh An, phường Ninh Sơn, thành phố Tây Ninh, tỉnh Tây Ninh</t>
  </si>
  <si>
    <t>CCCD: 072080011413</t>
  </si>
  <si>
    <t>SĐT: 0888081122</t>
  </si>
  <si>
    <t xml:space="preserve">Số phát hành GCN:
Số vào sổ: 
Ngày cấp: </t>
  </si>
  <si>
    <t>Nhà cấp 4: Móng gạch, cột gạch + BTCT, tường xây gạch tô sơn P, trần tấm nhựa thả, nền gạch men, không có nhà vệ sinh trong nhà, cửa sắt kinh + cửa sát cuốn</t>
  </si>
  <si>
    <t>DT tính hết nhịp cột 12,096m2</t>
  </si>
  <si>
    <t xml:space="preserve">Mái che khu sắt tiền chế, mái lợp ngói, không vách, nền gạch men </t>
  </si>
  <si>
    <t>DT nằm trong lộ giới 27m đến 31m</t>
  </si>
  <si>
    <t>nền bê tông đá 1x2</t>
  </si>
  <si>
    <t>Nền bê tông đá 1x2</t>
  </si>
  <si>
    <t>Bùi Thanh Tuyền
Nguyễn Huỳnh Thơm</t>
  </si>
  <si>
    <t>Đc:       đường Bời Lời, khu phố Ninh An, phường Ninh Sơn, thành phố Tây Ninh, tỉnh Tây Ninh</t>
  </si>
  <si>
    <t>Mái che khung sắt tiền chế mái bạt, không vách, nền xi măng</t>
  </si>
  <si>
    <t xml:space="preserve">Năm sinh: 1944
Nghề nghiệp: </t>
  </si>
  <si>
    <t>CCCD: 038144000085</t>
  </si>
  <si>
    <t>Đc:   759 đường Bời Lời, khu phố Ninh An, phường Ninh Sơn, thành phố Tây Ninh, tỉnh Tây Ninh</t>
  </si>
  <si>
    <t>SĐT: 0984975090</t>
  </si>
  <si>
    <t>Thửa đất hiện trạng số 343
(Trích từ thửa đất số 114, tờ BĐĐC số 04)</t>
  </si>
  <si>
    <t>Số phát hành GCN:D667700
Số vào sổ: 
Ngày cấp: 25/7/1995</t>
  </si>
  <si>
    <t>Mái che khung sắt tiền chế, mái lợp tôn, không vách, nền xi măng + gạch Tezero (xây dựng năm 2023)</t>
  </si>
  <si>
    <t>Nền bê tông đã 1x2</t>
  </si>
  <si>
    <t>Ốp gạch men trụ cổng</t>
  </si>
  <si>
    <t>nền gạch Tezero</t>
  </si>
  <si>
    <t>Cổng rào khung sắt lưới B40 di chuyển được</t>
  </si>
  <si>
    <t>Cây chanh chúc 6 năm</t>
  </si>
  <si>
    <t>Cây đinh lăng 6 năm</t>
  </si>
  <si>
    <t>Cây mận 6 năm</t>
  </si>
  <si>
    <t>Cây bông hồng đường kính 1cm cao 0,4m</t>
  </si>
  <si>
    <t>rau màu các loại</t>
  </si>
  <si>
    <t>Rau mồng tơi</t>
  </si>
  <si>
    <t>Lê Văn Tiến
Dương Thị Ngọc Sanh</t>
  </si>
  <si>
    <t xml:space="preserve">Năm sinh: 1968
Nghề nghiệp: </t>
  </si>
  <si>
    <t>CCCD: 052068000155</t>
  </si>
  <si>
    <t>Đc:   757 đường Bời Lời, khu phố Ninh An, phường Ninh Sơn, thành phố Tây Ninh, tỉnh Tây Ninh</t>
  </si>
  <si>
    <t>SĐT: 0964859152</t>
  </si>
  <si>
    <t>Thửa đất hiện trạng số 335
(Trích từ thửa đất số 970, tờ BĐĐC số 41)</t>
  </si>
  <si>
    <t>Số phát hành GCN:CM 300513
Số vào sổ: 
Ngày cấp: 23/01/2018</t>
  </si>
  <si>
    <t>Mái che khung sắt tiền chế, mái lợp tôn,vách tường + tôn, nền gạch Tezero (xây dựng năm 2023)</t>
  </si>
  <si>
    <t>Phan Văn Đây
Võ Thị Sương</t>
  </si>
  <si>
    <t xml:space="preserve">Năm sinh: 1974
Nghề nghiệp: </t>
  </si>
  <si>
    <t>CCCD: 072074401088</t>
  </si>
  <si>
    <t>Đc: khu phố 2, phường 3, thành phố Tây Ninh, tỉnh Tây Ninh</t>
  </si>
  <si>
    <t>SĐT: 0385461230</t>
  </si>
  <si>
    <t>Số phát hành GCN:BS 805533
Số vào sổ: CH 03548
Ngày cấp: 10/6/2014</t>
  </si>
  <si>
    <t>Sân đá mi</t>
  </si>
  <si>
    <t xml:space="preserve">Năm sinh: 1955
Nghề nghiệp: </t>
  </si>
  <si>
    <t>CCCD: 072155000062</t>
  </si>
  <si>
    <t>Đc:   749 đường Bời Lời, khu phố Ninh An, phường Ninh Sơn, thành phố Tây Ninh, tỉnh Tây Ninh</t>
  </si>
  <si>
    <t>SĐT: 0868797216</t>
  </si>
  <si>
    <t>Số phát hành GCN:17513
Số vào sổ: 01568/QSD Đ/40/QĐ-UB(H)
Ngày cấp: 05/8/1998</t>
  </si>
  <si>
    <t>Mái che khung gỗ + sắt, mái lợp tôn, nền xi măng, không vách (xây dựng năm 2020)</t>
  </si>
  <si>
    <t>DT tính đến nhịp cột 41,08m2</t>
  </si>
  <si>
    <t>Mái che khunhg sắt tiền chế, mái lợp tôn, tấm alu phía dưới mái tôn, không vách, nền xi măng (xây dựng năm 2020)</t>
  </si>
  <si>
    <t>DT tính đến nhịp cột 33,35 m2</t>
  </si>
  <si>
    <t>Nền xi măng</t>
  </si>
  <si>
    <t>Mái ngói trụ cổng xà sắt</t>
  </si>
  <si>
    <t>Cây mai chiếu thủy đường kính 1cm cao 0,4m</t>
  </si>
  <si>
    <t>Hoa kiểng thân mềm</t>
  </si>
  <si>
    <t>Cây xanh đường kính 70cm</t>
  </si>
  <si>
    <t>Cây cao kiểng đường kính 20cm cao trên 2m</t>
  </si>
  <si>
    <t>Chậu kiểng đường kính 30cm</t>
  </si>
  <si>
    <t>Thửa đất hiện trạng số 332
(Trích từ thửa đất cũ số 111, tờ BĐĐC cũ số 04)</t>
  </si>
  <si>
    <t>Phan Văn Cường
Lê Thị Kim Dung</t>
  </si>
  <si>
    <t xml:space="preserve">Năm sinh: 1971
Nghề nghiệp: </t>
  </si>
  <si>
    <t xml:space="preserve">Năm sinh: 1967
Nghề nghiệp: </t>
  </si>
  <si>
    <t>CCCD: 052067006141</t>
  </si>
  <si>
    <t>Đc:   735 đường Bời Lời, khu phố Ninh An, phường Ninh Sơn, thành phố Tây Ninh, tỉnh Tây Ninh</t>
  </si>
  <si>
    <t>Thửa đất hiện trạng số 329
(Trích từ thửa đất số 144, tờ BĐĐC số 42)</t>
  </si>
  <si>
    <t>Số phát hành GCN:AD 831183
Số vào sổ: H01799/NS
Ngày cấp: 02/6/2006</t>
  </si>
  <si>
    <t>Mái che khunhg sắt tiền chế, mái lợp tôn, không vách, nền xi măng (xây dựng năm 2008)</t>
  </si>
  <si>
    <t>Nền gạch Tezero</t>
  </si>
  <si>
    <t>Giếng khoan sâu 27m</t>
  </si>
  <si>
    <t>Cây bàng đường kính 30cm</t>
  </si>
  <si>
    <t>Lê Hữu Chiến</t>
  </si>
  <si>
    <t>Đc:  đường Bời Lời, khu phố Ninh An, phường Ninh Sơn, thành phố Tây Ninh, tỉnh Tây Ninh</t>
  </si>
  <si>
    <t xml:space="preserve">CCCD: </t>
  </si>
  <si>
    <t>Nhà cấp 4: Móng gạch, cột gạch, tường xây gạch tô sơn P, mái lợp tôn, trần tôn lạnh, cửa kép xếp + cửa sắt cuốn, nền gạch men + gạch tezzero, không có vệ sinh trong nhà</t>
  </si>
  <si>
    <t>Mái che khung sắt tiền chế, mái lợp tôn, không vách, nền gạch tezero</t>
  </si>
  <si>
    <t>Cây lưỡi hỗ</t>
  </si>
  <si>
    <t>Trần Thủy
Lê Thị A</t>
  </si>
  <si>
    <t xml:space="preserve">Năm sinh: 1934
Nghề nghiệp: </t>
  </si>
  <si>
    <t>CCCD: 072031000059</t>
  </si>
  <si>
    <t>Đc: 44 đường số 21 Bời Lời, khu phố Ninh An, phường Ninh Sơn, thành phố Tây Ninh, tỉnh Tây Ninh</t>
  </si>
  <si>
    <t>SĐT: 0964138168</t>
  </si>
  <si>
    <t>Thửa đất hiện trạng số 326
(Trích từ thửa đất số  130, tờ BĐĐC số 42)</t>
  </si>
  <si>
    <t>Số phát hành GCN: DO902406
Số vào sổ: VP19596
Ngày cấp: 11/3/2014</t>
  </si>
  <si>
    <t>Mái che khung sắt tiền chế, mái lợp tôn, có vách, nền gạch men, trần tấm nhựa thả</t>
  </si>
  <si>
    <t>Thửa đất hiện trạng số 325
(Trích từ thửa đất cũ số 734, tờ BĐĐC cũ số 4)</t>
  </si>
  <si>
    <t>Số phát hành GCN: H73144
Số vào sổ: 04535
Ngày cấp: 05/10/1996</t>
  </si>
  <si>
    <t>Giếng khoan sâu 40m</t>
  </si>
  <si>
    <t>Mái che khung sắt tiền chế, không vách, nền xi măng</t>
  </si>
  <si>
    <t>DT tính hết nhịp cột 38,61 m2</t>
  </si>
  <si>
    <t>Cây kiểng dạng thân gỗ đường kính 10cm</t>
  </si>
  <si>
    <t>Các đồng thừa kế của ông Nguyễn Văn Nam</t>
  </si>
  <si>
    <t xml:space="preserve">người đại diện: Nguyễn Thành Lộc, Năm sinh: 1988
Nghề nghiệp: </t>
  </si>
  <si>
    <t>CCCD: 072088000857</t>
  </si>
  <si>
    <t>Đc: 721 đường số 21 Bời Lời, khu phố Ninh An, phường Ninh Sơn, thành phố Tây Ninh, tỉnh Tây Ninh</t>
  </si>
  <si>
    <t>Số phát hành GCN: CU646171
Số vào sổ: CS 11903
Ngày cấp: 07/01/2020</t>
  </si>
  <si>
    <t>Mái che khung sắt tiền chế, mái lợp tôn, vách tường + tôn + lưới B40, trần tôn lạnh, nền gạch tàu (xây dựng năm …....)</t>
  </si>
  <si>
    <t>Nguyễn Thị Hằng</t>
  </si>
  <si>
    <t>Đc: Tổ 2, ấp 3, xã Suối Dây, huyện Tân Châu, tỉnh Tây Ninh</t>
  </si>
  <si>
    <t xml:space="preserve">Năm sinh: 1980
Nghề nghiệp: </t>
  </si>
  <si>
    <t>CCCD: 072180002878</t>
  </si>
  <si>
    <t>Thửa đất hiện trạng số 316
(Trích từ thửa đất số 433, tờ BĐĐC cũ số 42)</t>
  </si>
  <si>
    <t>Số phát hành GCN: DO 581949
Số vào sổ: CN 20926
Ngày cấp: 04/11/2024</t>
  </si>
  <si>
    <t>Trương Thị Thắm</t>
  </si>
  <si>
    <t>CCCD: 072171000475</t>
  </si>
  <si>
    <t>SĐT: 0919620659</t>
  </si>
  <si>
    <t>Thửa đất hiện trạng số 330
(Trích từ thửa đất số 110, tờ BĐĐC cũ số 42)</t>
  </si>
  <si>
    <t>Số phát hành GCN: CT210923
Số vào sổ: 
Ngày cấp: 10/10/2019</t>
  </si>
  <si>
    <t>Nhà cấp 4: (Xây dựng năm 2022, không có giấy phép)
Kết cấu: Móng gạch, cột gạch + BTCT, tường xây gạch tô sơn P, trần tấm nhựa thả, mái lợp tôn, nền gạch men, cửa sắt cuốn</t>
  </si>
  <si>
    <t>Nền gạch tezero</t>
  </si>
  <si>
    <t>Ốp đá chẽ</t>
  </si>
  <si>
    <t>Di dời cổng rào sắt</t>
  </si>
  <si>
    <t>Tô tường trụ cổng</t>
  </si>
  <si>
    <t>Hàng rào xây gạch (gạch Block T20) móng xây gạch có tô</t>
  </si>
  <si>
    <t>Tường xây gạch (hàng rào xây gạch 100mm, móng BTCT, trụ xây gạch)</t>
  </si>
  <si>
    <t>Cây cao kiểng đường kính 26cm cao trên 2m</t>
  </si>
  <si>
    <t>Cây nguyệt quế đường kính 1cm cao 0,4m</t>
  </si>
  <si>
    <t>Nguyễn Thành Giáo
Nguyễn Thị Bé</t>
  </si>
  <si>
    <t xml:space="preserve">Năm sinh: 1954
Nghề nghiệp: </t>
  </si>
  <si>
    <t>CCCD: 052054000007</t>
  </si>
  <si>
    <t>Đc: 583 đường Bời Lời, khu phố Ninh An, phường Ninh Sơn, thành phố Tây Ninh, tỉnh Tây Ninh</t>
  </si>
  <si>
    <t>Đc: 733 đường Bời Lời, khu phố Ninh An, phường Ninh Sơn, thành phố Tây Ninh, tỉnh Tây Ninh</t>
  </si>
  <si>
    <t>SĐT: 0815812576</t>
  </si>
  <si>
    <t>Số phát hành GCN: CV 598215
Số vào sổ: CS 12344
Ngày cấp: 14/5/2020</t>
  </si>
  <si>
    <t>Mái che khung sắt tiền chế, mái lợp tôn, không vách, nền xi măng (xây dựng năm 2010)</t>
  </si>
  <si>
    <t>Nguyễn Quốc Đông</t>
  </si>
  <si>
    <t>Đc: 731 đường Bời Lời, khu phố Ninh An, phường Ninh Sơn, thành phố Tây Ninh, tỉnh Tây Ninh</t>
  </si>
  <si>
    <t>SĐT: 0978978357</t>
  </si>
  <si>
    <t xml:space="preserve">Năm sinh: 1945
Nghề nghiệp: </t>
  </si>
  <si>
    <t>CCCD: 083045000089</t>
  </si>
  <si>
    <t>Đc: 749 đường Bời Lời, khu phố Ninh An, phường Ninh Sơn, thành phố Tây Ninh, tỉnh Tây Ninh</t>
  </si>
  <si>
    <t>SĐT: 0982104502</t>
  </si>
  <si>
    <t>Số phát hành GCN: DM 537216
Số vào sổ: VP19112
Ngày cấp: 30/10/2023</t>
  </si>
  <si>
    <t>Mái che khung sắt tiền chế, mái lợp tôn, không vách, nền gạch tàu (xây dựng năm 2000)</t>
  </si>
  <si>
    <t>Giếng khoan sâu 22m</t>
  </si>
  <si>
    <t>Đặng Hồng Thái</t>
  </si>
  <si>
    <t>Nguyễn Văn Huýt
Phan Thị Được</t>
  </si>
  <si>
    <t xml:space="preserve">Năm sinh: 1969
Nghề nghiệp: </t>
  </si>
  <si>
    <t>CCCD: 054069010741</t>
  </si>
  <si>
    <t>Đc: 727 đường Bời Lời, khu phố Ninh An, phường Ninh Sơn, thành phố Tây Ninh, tỉnh Tây Ninh</t>
  </si>
  <si>
    <t>SĐT: 0919868464</t>
  </si>
  <si>
    <t>Thửa đất hiện trạng số 323
(Trích từ thửa đất cũ số 658, tờ BĐĐC cũ số 04)</t>
  </si>
  <si>
    <t>Thửa đất hiện trạng số 322
(Trích từ thửa đất số 112, tờ BĐĐC số 42)</t>
  </si>
  <si>
    <t>Số phát hành GCN: 
Số vào sổ: 03274/QSDĐ/D3
Ngày cấp: 25/7/1995</t>
  </si>
  <si>
    <t>Mái che khung sắt tiền chế, mái lợp tôn, không vách, nền bê tông đá 1x2 (xây dựng năm 1993)</t>
  </si>
  <si>
    <t>Giếng khoan sâu 35m</t>
  </si>
  <si>
    <t>Lưu Tất Linh</t>
  </si>
  <si>
    <t>ĐC: 30/64 tổ 12 ấp Tam Hạp, xã Thái Bình, huyện Châu Thành, tỉnh Tây Ninh</t>
  </si>
  <si>
    <t>ĐT: 0923740797</t>
  </si>
  <si>
    <t>Thửa đất hiện trạng số 324
(Trích từ thửa đất số 114, tờ BĐĐC số 42)</t>
  </si>
  <si>
    <t>CMND: 072063002315</t>
  </si>
  <si>
    <t>ĐC: 8/6 hẻm 6 đường Nguyễn Thái Học, Khu phố 4, Phường 3, thành phố Tây Ninh, tỉnh Tây Ninh</t>
  </si>
  <si>
    <t>ĐT: 0919204296</t>
  </si>
  <si>
    <t>Thửa đất hiện trạng số 317
(Trích từ thửa đất số 78, tờ BĐĐC số 42)</t>
  </si>
  <si>
    <t>Số phát hành GCN: BV052057
Số vào sổ: CH04123
Ngày cấp: 11/12/2014</t>
  </si>
  <si>
    <t>Lê Thành Thử
Nguyễn Cao Anh Thư</t>
  </si>
  <si>
    <t>Mái che khung sắt tiền chế, mái lợp tôn, không vách, nền bê tông đá 1x2 (xây dựng năm 2017)</t>
  </si>
  <si>
    <t>CMND: 072087004740</t>
  </si>
  <si>
    <t>Đinh Minh Tâm</t>
  </si>
  <si>
    <t xml:space="preserve">CMND: </t>
  </si>
  <si>
    <t>ĐC:  thành phố Tây Ninh, tỉnh Tây Ninh</t>
  </si>
  <si>
    <t xml:space="preserve">ĐT: </t>
  </si>
  <si>
    <t>Đinh Xuân Hùng</t>
  </si>
  <si>
    <t>Huỳnh Thị Kim Loan</t>
  </si>
  <si>
    <t>CCCD: 072170001762</t>
  </si>
  <si>
    <t>ĐC:  1405 đường CMT8, Khu phố Ninh Phước, Phường Ninh Thạnh, thành phố Tây Ninh, tỉnh Tây Ninh</t>
  </si>
  <si>
    <t>Số phát hành GCN: AD981847
Số vào sổ: H01201/NS
Ngày cấp: 17/01/2006</t>
  </si>
  <si>
    <t>Trụ xây gạch</t>
  </si>
  <si>
    <t>Trương Thị Thu Nga</t>
  </si>
  <si>
    <t>Xây dựng công trình trên đất của ông Đinh Minh Tâm</t>
  </si>
  <si>
    <t>Huỳnh Thị Long Quí</t>
  </si>
  <si>
    <t>Xây dựng công trình trên đất của ông Đinh Xuân Hùng</t>
  </si>
  <si>
    <t>CCCD: 072183000869</t>
  </si>
  <si>
    <t>ĐC: 102 đường Hoàng Lê Kha, Phu phố 4, Phường 3, thành phố Tây Ninh, tỉnh Tây Ninh</t>
  </si>
  <si>
    <t>ĐT: 0839467895</t>
  </si>
  <si>
    <t>Mái che khung sắt tiền chế, mái lợp tôn, có vách, nền gạch men (xây dựng năm 2018)</t>
  </si>
  <si>
    <t>Hàng rào lưới B40 trụ bê tông đúc sẳn, móng xây gạch (xây dựng năm 2018)</t>
  </si>
  <si>
    <t>Nguyễn Vũ Luân</t>
  </si>
  <si>
    <t>CCCD: 080098002581</t>
  </si>
  <si>
    <t>ĐC: 131 ấp Bình Hữu 1, xã Đức Hòa Thượng, huyện Đức Hòa, tỉnh Long An</t>
  </si>
  <si>
    <t>ĐT: 0332538977</t>
  </si>
  <si>
    <t>Bà Đặng Thị Thắng và các đồng thừa kế của ông Huỳnh Ngọc Anh</t>
  </si>
  <si>
    <t>CCCD: 072154001592</t>
  </si>
  <si>
    <t>ĐC: 703 đường Bời Lời, Khu phố Ninh An, phường Ninh Sơn, thành phố Tây Ninh, tỉnh Tây Ninh</t>
  </si>
  <si>
    <t>Thửa đất hiện trạng số 285
(Trích từ thửa đất cũ số 761,762,781 , tờ BĐĐC cũ số 04)</t>
  </si>
  <si>
    <t>Số phát hành GCN: 161/QĐ-UBND-GCN
Số vào sổ: 
Ngày cấp: 28/5/2008</t>
  </si>
  <si>
    <t>Nhà cấp III (xây dựng năm 2001-2008, được cấp giấy CN quyền sở hữu nhà ở và quyền sử dụng đất ở)
Kết cấu: Móng khung cột sàn BTCT, tường xây gạch tô sơn P, mái tôn, nền gạch men, 04 tầng</t>
  </si>
  <si>
    <t>Cây cau kiểng đường kính 40cm cao trên 2m</t>
  </si>
  <si>
    <t>Huỳnh Văn Đệ
Nguyễn Thị Hạnh</t>
  </si>
  <si>
    <t>CCCD: 0510640010133</t>
  </si>
  <si>
    <t>ĐC: 709 đường Bời Lời, Khu phố Ninh An, phường Ninh Sơn, thành phố Tây Ninh, tỉnh Tây Ninh</t>
  </si>
  <si>
    <t>ĐT: 0384994266</t>
  </si>
  <si>
    <t>Số phát hành GCN: AL 846912
Số vào sổ: 
Ngày cấp: 07/7/2008</t>
  </si>
  <si>
    <t>Đất cơ sở sản xuất tiếp giáp đường Bời Lời</t>
  </si>
  <si>
    <t>Nhà cấp IV (xây dựng năm 2000, do Quỹ tín dụng nhân dân phường Ninh Sơn xây dựng và bán lại cho ông Đệ năm 2008)
Kết cấu: Móng gạch + BTCT, cột gạch + BTCT, tường xây gạch tô sơn P, mặt trang dán gạch men</t>
  </si>
  <si>
    <t>ĐT: 0913107607</t>
  </si>
  <si>
    <t>Thửa đất hiện trạng số 282
(Trích từ thửa đất số 257 , tờ BĐĐC số 42)</t>
  </si>
  <si>
    <t>ĐC: 695 A đường Bời Lời, Khu phố Ninh An, phường Ninh Sơn, thành phố Tây Ninh, tỉnh Tây Ninh</t>
  </si>
  <si>
    <t>CCCD: 072075004205</t>
  </si>
  <si>
    <t>Thửa đất hiện trạng số 272,273
(Trích từ thửa đất số 340,265, tờ BĐĐC số 42)</t>
  </si>
  <si>
    <t>Số phát hành GCN: CT210648
Số vào sổ: CS11397
Ngày cấp: 02/10/2019
Số phát hành GCN: DM440124
Số vào sổ: CN18895
Ngày cấp: 11/9/2023</t>
  </si>
  <si>
    <t>Nguyễn Thành Tuấn
Nguyễn Thị Thủy</t>
  </si>
  <si>
    <t>Nhà cấp IV (xây dựng năm 2010)
Kết cấu: Móng gạch + BTCT, cột gạch + BTCT, tường xây gạch tô sơn P, dán gạch tường 30cm x60 cm,nền gạch men, mái lợp tôn, trần tấm nhựa thả, cửa sắt kéo, có nhà vệ sinh trong nhà</t>
  </si>
  <si>
    <t>Dán gạch tường quy cách 30 cm x 60 cm</t>
  </si>
  <si>
    <t>Mái che khung săt tiền chế, một vách, nền gạch tezero + gạch men (xây dựng năm 2010)</t>
  </si>
  <si>
    <t>Nguyễn Thị Hồng</t>
  </si>
  <si>
    <t>CCCD: 072163005699</t>
  </si>
  <si>
    <t>ĐC: 245 đường Bời Lời, Khu phố Ninh An, phường Ninh Sơn, thành phố Tây Ninh, tỉnh Tây Ninh</t>
  </si>
  <si>
    <t>ĐT: 0974646491</t>
  </si>
  <si>
    <t xml:space="preserve">Số phát hành GCN: 
Số vào sổ: 
Ngày cấp: 
</t>
  </si>
  <si>
    <t>Mái che khung sắt tiền chế, mái lợp tôn, không vách, nền xi măng (xây dựng 2015)</t>
  </si>
  <si>
    <t>Trịnh Xuân Trường (ủy quyền cho ông Trịnh Xuân Tứ)</t>
  </si>
  <si>
    <t>CCCD: 038083014852</t>
  </si>
  <si>
    <t>ĐC: 67 Khu phố 2, Phường 1, thành phố Tây Ninh, tỉnh Tây Ninh</t>
  </si>
  <si>
    <t>Thửa đất hiện trạng số 275
(Trích từ thửa đất số 772, tờ BĐĐC số 4)</t>
  </si>
  <si>
    <t>Đà BTCT</t>
  </si>
  <si>
    <t>Nền gạch men</t>
  </si>
  <si>
    <t>CCCD: 072160002791</t>
  </si>
  <si>
    <t>ĐC: 687 đường Bời Lời, Khu phố Ninh An, phường Ninh Sơn, thành phố Tây Ninh, tỉnh Tây Ninh</t>
  </si>
  <si>
    <t>ĐT: 0364525911</t>
  </si>
  <si>
    <t xml:space="preserve">Số phát hành GCN: AD502909
Số vào sổ: 
Ngày cấp: 24/3/2006
</t>
  </si>
  <si>
    <t>Nhà cấp 4 (xây dựng năm 2000)
Kết cấu: Móng gạch, cột gạch, tường xây gạch tô quét vôi, trần tấm nhựa thả, mái lợp tôn, nền gạch men, có vệ sinh bên trong nhà</t>
  </si>
  <si>
    <t>Thửa đất hiện trạng số 276
(Trích từ thửa đất số 134, tờ BĐĐC số 43)</t>
  </si>
  <si>
    <t>Mái che khung sắt tiền chế, không vách, nền xi măng (xây dựng năm 2000)</t>
  </si>
  <si>
    <t>Huỳnh Ngọc Hùng</t>
  </si>
  <si>
    <t>CCCD: 05168014213</t>
  </si>
  <si>
    <t>ĐC: 633 đường Bời Lời, Khu phố Ninh An, phường Ninh Sơn, thành phố Tây Ninh, tỉnh Tây Ninh</t>
  </si>
  <si>
    <t>ĐT: 0913663915</t>
  </si>
  <si>
    <t>Thửa đất hiện trạng số 225     
(Trích từ thửa đất số 17, tờ BĐĐC số 4)</t>
  </si>
  <si>
    <t>Nhà cấp IV (xây dựng năm 2020), không giấy phép
Kết cấu: Móng BTCT, cột, khung, dà BTCT, tường xây gacgj tô sơn P, mái lợp tôn, nền gạch men, cửa sắt cuốn, có nhà vệ sinh bên trong</t>
  </si>
  <si>
    <t>DT tính hết nhịp cột 32,076</t>
  </si>
  <si>
    <t>Nền lát gạch men 600x600</t>
  </si>
  <si>
    <t>CCCD: 052064015311</t>
  </si>
  <si>
    <t>ĐT: 0976338274</t>
  </si>
  <si>
    <t>ĐC: ấp Thạnh Hiệp, xã Thạnh Tân, thành phố Tây Ninh, tỉnh Tây Ninh</t>
  </si>
  <si>
    <t xml:space="preserve">Số phát hành GCN: CV670739
Số vào sổ: CS13097
Ngày cấp: 15/9/2020
</t>
  </si>
  <si>
    <t>Nguyễn Hữu Phước
Nguyễn Thị Nguyệt</t>
  </si>
  <si>
    <t>Nguyễn văn Liêm</t>
  </si>
  <si>
    <t>ĐC: 607 đường Bời Lời, Khu phố Ninh An, phường Ninh Sơn, thành phố Tây Ninh, tỉnh Tây Ninh</t>
  </si>
  <si>
    <t>ĐT: 0984624567</t>
  </si>
  <si>
    <t xml:space="preserve">Số phát hành GCN: N283452
Số vào sổ: 05367
Ngày cấp: 30/12/1998
</t>
  </si>
  <si>
    <t>Thửa đất hiện trạng số 177
(Trích từ thửa đất số 643, tờ BĐĐC số 4)</t>
  </si>
  <si>
    <t>Nhà cấp IV (xây dựng năm 2000, cải tạo sữa chữa năm 2021)
Kết cấu: Móng, cột, khung, đà, sàn BTCT, tường xây gạch tô sơn P, sàn mái BTCT (dùng làm ban công) cửa sắt kính, nền gạch men, có nhà vệ sinh bên trong</t>
  </si>
  <si>
    <t>Hàng rào song sắt móng xây gạch</t>
  </si>
  <si>
    <t>Cây sung 40 năm</t>
  </si>
  <si>
    <t>Nguyễn Anh Lâm</t>
  </si>
  <si>
    <t>ĐC:  đường Bời Lời, Khu phố Ninh An, phường Ninh Sơn, thành phố Tây Ninh, tỉnh Tây Ninh</t>
  </si>
  <si>
    <t xml:space="preserve">Số phát hành GCN: CH088126
Số vào sổ: 
Ngày cấp: 27/02/2018
</t>
  </si>
  <si>
    <t>Nhà cấp IV (cải tạo sữa chữa năm 2021)
Kết cấu: Móng, cột BTCT, tường xây gạch tô sơn P, trần tấm nhựa thả, cửa kéo xếp, nền gạch men, có nhà vệ sinh bên trong</t>
  </si>
  <si>
    <t>Mái che khung gỗ, không vách, mái lợp tôn, nền xi măng (xây dựng năm 2021)</t>
  </si>
  <si>
    <t>Nguyễn Lê Hoàng Phương
Trần Thị Cẩm Loan</t>
  </si>
  <si>
    <t>CCCD: 072084007653</t>
  </si>
  <si>
    <t>ĐC: 611 đường Bời Lời, Khu phố Ninh An, phường Ninh Sơn, thành phố Tây Ninh, tỉnh Tây Ninh</t>
  </si>
  <si>
    <t>ĐT: 0979426203</t>
  </si>
  <si>
    <t xml:space="preserve">Số phát hành GCN: CL423170
Số vào sổ: 
Ngày cấp: 06/10/2017
</t>
  </si>
  <si>
    <t>Thửa đất hiện trạng số 190
(Trích từ thửa đất số 687, tờ BĐĐC số 43)</t>
  </si>
  <si>
    <t>Mái che khung sắt tiền chế, có 01 vách, mái lợp tôn, nền bê tông xi măng đá 4x6 (xây dựng năm 2015)</t>
  </si>
  <si>
    <t>CCCD: 034058002833</t>
  </si>
  <si>
    <t>ĐC: 615 đường Bời Lời, Khu phố Ninh An, phường Ninh Sơn, thành phố Tây Ninh, tỉnh Tây Ninh</t>
  </si>
  <si>
    <t>ĐT: 0977017073</t>
  </si>
  <si>
    <t xml:space="preserve">Số phát hành GCN: AE097710
Số vào sổ: 
Ngày cấp: 27/6/2006
</t>
  </si>
  <si>
    <t>Thửa đất hiện trạng số 197
(Trích từ thửa đất số 54, tờ BĐĐC số 43)</t>
  </si>
  <si>
    <t>Mái che khung sắt tiền chế, có vách, mái lợp tôn, nền xi măng  (xây dựng năm 2000)</t>
  </si>
  <si>
    <t>Hồ Đắc Khánh</t>
  </si>
  <si>
    <t>CCCD: 052050006478</t>
  </si>
  <si>
    <t>ĐC: 619 đường Bời Lời, Khu phố Ninh An, phường Ninh Sơn, thành phố Tây Ninh, tỉnh Tây Ninh</t>
  </si>
  <si>
    <t>ĐT: 0869048257</t>
  </si>
  <si>
    <t>Thửa đất hiện trạng số 212
(Trích từ thửa đất số 52, tờ BĐĐC số 43)</t>
  </si>
  <si>
    <t xml:space="preserve">Số phát hành GCN: DM 537263
Số vào sổ: 
Ngày cấp: 13/11/2023 (cấp đổi GCN)
</t>
  </si>
  <si>
    <t>Nhà cấp III (xây dựng năm 2001, không giấy phép) 
Kết cấu: nhà 01 trệt, 01 lầu, móng cột đà BTCT, tường xây gạch tô sơn P, sán BTCT, nền gạch men, cửa sắt kính, có vệ sinh bên trong, mái lợp tôn, có ban công</t>
  </si>
  <si>
    <t>Mái che khung sắt tiền chế, có 01 vách, mái lợp tôn, nền gạch tàu  (xây dựng năm     )</t>
  </si>
  <si>
    <t>Nguyễn Văn Trị</t>
  </si>
  <si>
    <t>CCCD: 052060011320</t>
  </si>
  <si>
    <t>ĐC: 623 đường Bời Lời, Khu phố Ninh An, phường Ninh Sơn, thành phố Tây Ninh, tỉnh Tây Ninh</t>
  </si>
  <si>
    <t>ĐT: 0975547308</t>
  </si>
  <si>
    <t>Thửa đất hiện trạng số 210
(Trích từ thửa đất số 11, tờ BĐĐC số 4)</t>
  </si>
  <si>
    <t xml:space="preserve">Số phát hành GCN: S964261
Số vào sổ: 
Ngày cấp: 13/7/2001
</t>
  </si>
  <si>
    <t>Nhà cấp III (xây dựng năm 2001, không giấy phép) 
Kết cấu: móng cột đà BTCT, tường xây gạch tô sơn P ốp gạch men quy cách 250x400, nền gạch men, trần tôn lạnh, có vệ sinh bên trong, mái lợp tôn, cửa kép xếp</t>
  </si>
  <si>
    <t>Tường xây 200mm</t>
  </si>
  <si>
    <t>Nguyễn Quang Toàn</t>
  </si>
  <si>
    <t>CCCD: 072086001759</t>
  </si>
  <si>
    <t>ĐC: 621 đường Bời Lời, Khu phố Ninh An, phường Ninh Sơn, thành phố Tây Ninh, tỉnh Tây Ninh</t>
  </si>
  <si>
    <t>ĐT: 0972202852</t>
  </si>
  <si>
    <t>Thửa đất hiện trạng số 211
(Trích từ thửa đất số 50, tờ BĐĐC số 43)</t>
  </si>
  <si>
    <t xml:space="preserve">Số phát hành GCN: DH 409986
Số vào sổ: CS 16894
Ngày cấp: 17/8/2022
</t>
  </si>
  <si>
    <t>Nhà cấp IV (xây dựng năm 2020 sủa chữa năm 2022, không giấy phép) 
Kết cấu: móng gạch + BTCT, cột gạch + BTCT, tường xây gạch tô sơn P + giấy dán tường, nền gạch men quy cách 600x600, trần tôn lạnh, có vệ sinh bên trong, mái lợp tôn, trần tấm nhựa thả, cửa sắt cuốn + kính cường lực</t>
  </si>
  <si>
    <t>Nền gạch men quy cách 600x600</t>
  </si>
  <si>
    <t>Mái che khung sắt tiền chế, mái lợp tôn, nền xi măng, không vách (xây dựng năm 2022)</t>
  </si>
  <si>
    <t>Võ Phu</t>
  </si>
  <si>
    <t>CCCD: 051063000001</t>
  </si>
  <si>
    <t>ĐC: 460 đường Bời Lời, Khu phố Ninh Trung, phường Ninh Sơn, thành phố Tây Ninh, tỉnh Tây Ninh</t>
  </si>
  <si>
    <t>ĐT: 0917414199</t>
  </si>
  <si>
    <t>Thửa đất hiện trạng số 140,278
(Trích từ thửa đất số 55,54, tờ BĐĐC số 42)</t>
  </si>
  <si>
    <t>Số phát hành GCN: BY579977
Số vào sổ: 
Ngày cấp: 21/5/2015
Số phát hành GCN: BN609931
Số vào sổ: 
Ngày cấp: 27/5/2013</t>
  </si>
  <si>
    <t>Thửa 140</t>
  </si>
  <si>
    <t xml:space="preserve">Nhà cấp IV (xây dựng năm 1997, không giấy phép) 
Kết cấu: móng gạch +  BTCT, cột gạch + BTCT, tường xây gạch tô sơn P, nền gạch men, trần tôn lạnh, có vệ sinh bên trong, mái lợp tôn, cửa kéo xếp </t>
  </si>
  <si>
    <t>Thửa 278</t>
  </si>
  <si>
    <t>Nhà gỗ: cột gỗ tròn, khung kèo gỗ, mái lợp ngói, nền gạch tàu, nhà có giá trị thẩm mỹ cao (xây dựng năm 2023</t>
  </si>
  <si>
    <t>DT tính đến nhịp cột 46,06 m2</t>
  </si>
  <si>
    <t>Mái che khung sắt tiền chế, mái bạt kéo, không vách, nền xi măng (xây dựng năm 2023)</t>
  </si>
  <si>
    <t>Mái che khung sắt tiền chế, mái lưới lan, không vách, nền gạch tezero (xây dựng năm 2023)</t>
  </si>
  <si>
    <t>Mái che khung sắt tiền chế, mái tôn, không vách, nền xi măng + gạch tàu(xây dựng năm 1997)</t>
  </si>
  <si>
    <t>Di dời khung sắt (như di dời cổng rào)</t>
  </si>
  <si>
    <t>Di dời cổng rào</t>
  </si>
  <si>
    <t>Di dời cửa sắt cuốn</t>
  </si>
  <si>
    <t>Mái che khung sắt tiền chế, mái tôn, không vách, nền xi măng (xây dựng năm  1997 )</t>
  </si>
  <si>
    <t>Cây xanh đường kính 30cm</t>
  </si>
  <si>
    <t>Cây lộc vừng đường kính 10cm</t>
  </si>
  <si>
    <t>Đõ Văn Trưởng</t>
  </si>
  <si>
    <t>CCCD: 072064000932</t>
  </si>
  <si>
    <t>ĐC:625 đường Bời Lời, Khu phố Ninh Lộc, phường Ninh Sơn, thành phố Tây Ninh, tỉnh Tây Ninh</t>
  </si>
  <si>
    <t>ĐT: 0906801107</t>
  </si>
  <si>
    <t xml:space="preserve">Số phát hành GCN: S964254
Số vào sổ: 
Ngày cấp: 13/7/2001
</t>
  </si>
  <si>
    <t>Thửa đất hiện trạng số 209
(Trích từ thửa đất số 12, tờ BĐĐC số 4)</t>
  </si>
  <si>
    <t xml:space="preserve">Nhà cấp IV (xây dựng năm 2001, không giấy phép) 
Kết cấu: móng gạch, cột gạch, tường xây gạch tô quét vôi (có 01 vách chung), nền gạch men, trần tôn lạnh, Không có vệ sinh bên trong, mái lợp tôn, cửa sắt </t>
  </si>
  <si>
    <t>Quách Hải Ngọc
Huỳnh Thị Phượng</t>
  </si>
  <si>
    <t>ĐT: 0964279299</t>
  </si>
  <si>
    <t xml:space="preserve">Số phát hành GCN: AD 998001
Số vào sổ: 
Ngày cấp: 08/12/2006
</t>
  </si>
  <si>
    <t>Thửa đất hiện trạng số 208
(Trích từ thửa đất số 47, tờ BĐĐC số 43)</t>
  </si>
  <si>
    <t>Nhà cấp IV (xây dựng năm         , không giấy phép) 
Kết cấu: móng gạch, cột gạch + BTCT, tường xây gạch tô sơn P, nền gạch men quy cách 600x600, trần tôn lạnh, có vệ sinh bên trong, mái lợp tôn, cửa sắt cuốn, mặt dựng ốp alu</t>
  </si>
  <si>
    <t>Nền gạch men quy cách 600x600 của nhà cấp IV</t>
  </si>
  <si>
    <t xml:space="preserve">Số phát hành GCN: CY 690844
Số vào sổ: CS 13281
Ngày cấp: 28/10/2020
</t>
  </si>
  <si>
    <t>Thửa đất hiện trạng số 207
(Trích từ thửa đất số 46, tờ BĐĐC số 43)</t>
  </si>
  <si>
    <t>Nhà cấp IV (xây dựng năm 2000, không giấy phép) 
Kết cấu: móng gạch, cột gạch + BTCT, tường xây gạch tô sơn P, nền gạch men quy cách 600x600, trần tấm nhựa thả, có vệ sinh bên trong, mái lợp tôn, cửa sắt cuốn</t>
  </si>
  <si>
    <t>DT tính đến nhịp cột 46,23 m2</t>
  </si>
  <si>
    <t>CCCD: 072063002158</t>
  </si>
  <si>
    <t>Lê Ngọc Minh Sơn
Trần Thị Ái</t>
  </si>
  <si>
    <t>ĐT: 0392365694</t>
  </si>
  <si>
    <t>ĐC:  629 đường Bời Lời, Khu phố Ninh An, phường Ninh Sơn, thành phố Tây Ninh, tỉnh Tây Ninh</t>
  </si>
  <si>
    <t>ĐC:     đường Bời Lời, Khu phố Ninh Thọ, phường Ninh Sơn, thành phố Tây Ninh, tỉnh Tây Ninh</t>
  </si>
  <si>
    <t xml:space="preserve">Số phát hành GCN: S964251
Số vào sổ: 
Ngày cấp: 13/7/2001
</t>
  </si>
  <si>
    <t>Thửa đất hiện trạng số 227
(Trích từ thửa đất số 15, tờ BĐĐC số 4)</t>
  </si>
  <si>
    <t>Nhà cấp III (xây dựng năm 2001, không giấy phép) 
Kết cấu: nhà 01 trệt, 01 lầu, móng cột đà BTCT, sàn BTCT, nền gạch men, tường xây gạch tô sơn P, lầu 1 trần tôn lạnh, có 02 phòng ngũ, hệ thống nhà vệ sinh bên ngoài, cửa nhôm, tường lầu 1 xây tô sơn P và bả matic</t>
  </si>
  <si>
    <t>Huỳnh Công Hảo
Lê Thị Quốc Liên</t>
  </si>
  <si>
    <t>CCCD: 072054000488</t>
  </si>
  <si>
    <t>Thửa đất hiện trạng số 226
(Trích từ thửa đất số 70, tờ BĐĐC số 43)</t>
  </si>
  <si>
    <t xml:space="preserve">Số phát hành GCN: AA00762376
Số vào sổ: 
Ngày cấp: 29/02/2025
</t>
  </si>
  <si>
    <t>Nhà cấp IV (xây dựng năm 2017, không giấy phép) 
Kết cấu: móng gạch + BTCT, cột gạch + BTCT, nền gạch men, tường xây gạch tô sơn P và dán gạch quy cách 25x40cm, mái lợp tôn, trần tấm nhựa thả, không có hệ thống nhà vệ sinh bên trong</t>
  </si>
  <si>
    <t>Kiều Thanh Bang</t>
  </si>
  <si>
    <t>CCCD: 072044004265</t>
  </si>
  <si>
    <t>ĐC: Tổ 7 ấp Trà Hiệp, xã Trà Vong, huyện Tân Biên, tỉnh Tây Ninh</t>
  </si>
  <si>
    <t>ĐT: 0987227160</t>
  </si>
  <si>
    <t>Thửa đất hiện trạng số 223
(Trích từ thửa đất số 19, tờ BĐĐC số 4)</t>
  </si>
  <si>
    <t xml:space="preserve">Số phát hành GCN: V504429
Số vào sổ: 00144
Ngày cấp: 25/6/2002
</t>
  </si>
  <si>
    <t>Nhà cấp III: nhà 01 tầng trệt, 01 tầng lầu (xây dựng năm 2001, không giấy phép) 
Kết cấu: móng gạch + BTCT, cột, đà, sàn BTCT, tường xây gạch tô sơn P và dán gạch quy cách 25x40cm, ban công 1m x 4,1m, nền gạch men, mái lợp tôn, trần tôn lạnh, cửa sắt kính + kéo xếp, có hệ thống nhà vệ sinh bên trong</t>
  </si>
  <si>
    <t>Nguyễn Văn Gưng
Huỳnh Thị Lệ Yến</t>
  </si>
  <si>
    <t>CCCD: 072072008122</t>
  </si>
  <si>
    <t>ĐC: 631 đường Bời Lời, Khu phố Ninh An, phường Ninh Sơn, thành phố Tây Ninh, tỉnh Tây Ninh</t>
  </si>
  <si>
    <t>ĐT: 0903346455</t>
  </si>
  <si>
    <t xml:space="preserve">Số phát hành GCN: BB847094
Số vào sổ:CH00474
Ngày cấp: 08/7/2010
</t>
  </si>
  <si>
    <t>Thửa đất hiện trạng số 224
(Trích từ thửa đất số 493, tờ BĐĐC số 43)</t>
  </si>
  <si>
    <t>Nhà cấp IV:  (xây dựng năm 2021, không giấy phép) 
Kết cấu: móng gạch + BTCT, cột gạch + BTCT, tường xây gạch tô sơn P và dán gạch quy cách 300x600, nền gạch men 800x800, mái lợp tôn, không đóng trần, cửa sắt cuốn, không có hệ thống nhà vệ sinh bên trong</t>
  </si>
  <si>
    <t>Gạch dán tường quy cách 300 x 600</t>
  </si>
  <si>
    <t>Nền lát gạch men quy cách 800 x 800</t>
  </si>
  <si>
    <t>Nguyễn Thị Liên</t>
  </si>
  <si>
    <t>CCCD:079152005225</t>
  </si>
  <si>
    <t>ĐC:  639 đường Bời Lời, Khu phố Ninh An, phường Ninh Sơn, thành phố Tây Ninh, tỉnh Tây Ninh</t>
  </si>
  <si>
    <t>ĐT: 0365198409</t>
  </si>
  <si>
    <t>Thửa đất hiện trạng số 222
(Trích từ thửa đất số 642, tờ BĐĐC số 4)</t>
  </si>
  <si>
    <t xml:space="preserve">Số phát hành GCN: W075594
Số vào sổ:00320
Ngày cấp: 28/10/2002
</t>
  </si>
  <si>
    <t xml:space="preserve">Nhà cấp III:  Nhà 01 tầng trệt, 01 tầng lầu (xây dựng năm 2002, không giấy phép) 
Kết cấu: móng BTCT, cột khung đà sàn BTCT, trần tôn lạnh, tường xây gạch tô sơn P, nền gạch men, mái lợp tôn, có hệ thống nhà vệ sinh bên trong, cửa sắt kính + cửa sắt kéo </t>
  </si>
  <si>
    <t>Mái che di động</t>
  </si>
  <si>
    <t>CCCD: 072187009235</t>
  </si>
  <si>
    <t>ĐC:  683 đường Bời Lời, Khu phố Ninh An, phường Ninh Sơn, thành phố Tây Ninh, tỉnh Tây Ninh</t>
  </si>
  <si>
    <t>ĐT: 0932112252</t>
  </si>
  <si>
    <t xml:space="preserve">Số phát hành GCN: BS 824556
Số vào sổ:
Ngày cấp: 26/4/2014
</t>
  </si>
  <si>
    <t>Thửa đất hiện trạng số 259
(Trích từ thửa đất số 135, tờ BĐĐC số 43)</t>
  </si>
  <si>
    <t>Nhà cấp IV: (xây dựng năm 1996 sửa chữa năm 2014, không giấy phép) 
Kết cấu: móng gạch, cột gạch + BTCT, tường xây gạch tô sơn P, mái lợp tôn, trần tôn lạnh + tấm nhựa thả (2 lớp), nền gạch men, cửa sắt + cửa kính cường lực + cửa sắt cuốn</t>
  </si>
  <si>
    <t>Nguyễn Thị Công</t>
  </si>
  <si>
    <t>CCCD: 072158001619</t>
  </si>
  <si>
    <t>ĐC:  679 đường Bời Lời, Khu phố Ninh An, phường Ninh Sơn, thành phố Tây Ninh, tỉnh Tây Ninh</t>
  </si>
  <si>
    <t>ĐT: 0813902252</t>
  </si>
  <si>
    <t>Thửa đất hiện trạng số 261,262
(Trích từ thửa đất số 37, tờ BĐĐC số 4)</t>
  </si>
  <si>
    <t xml:space="preserve">Số phát hành GCN: 
Số vào sổ: 06345
Ngày cấp: 28/9/2001
</t>
  </si>
  <si>
    <t>Hàng rào song sắt cột gạch + BTCT,móng xây gạch + đá học</t>
  </si>
  <si>
    <t>Nền bê tông đá 1 x 2</t>
  </si>
  <si>
    <t>Cây nhãn 4 năm</t>
  </si>
  <si>
    <t>Cây chùm ruột 4 năm</t>
  </si>
  <si>
    <t>Chậu kiểng đường kính 70cm</t>
  </si>
  <si>
    <t>Các đồng thừa kế của ông Nguyễn Ngọc Thới</t>
  </si>
  <si>
    <t>Đất chưa được cấp GCN QSD đất</t>
  </si>
  <si>
    <t>ĐC: Tổ 3 khu vực 2 Trần Quang Diệu, thành phố Quy Nhơn, tỉnh Bình Định</t>
  </si>
  <si>
    <t>ĐT: 0946950445</t>
  </si>
  <si>
    <t>Thửa đất hiện trạng số 264
(Trích từ thửa đất số   , tờ BĐĐC số   )</t>
  </si>
  <si>
    <t>Nhà cấp 4: Xây dựng năm 1990, không giấy phép
Kết cấu: Móng gạch + BTCT, cột gạch + BTCT, mái tôn, trần tôn lạnh, vách xây gạch tô quét vôi (xây nhờ một vách), nền gạch bông, cửa kép xếp, có hệ thống nhà vệ sinh bên trong</t>
  </si>
  <si>
    <t>CCCD: 072304009656-con Nguyễn Châu Khánh Linh</t>
  </si>
  <si>
    <t>CCCD: 052050000180</t>
  </si>
  <si>
    <t>ĐC:  671 đường Bời Lời, Khu phố Ninh An, phường Ninh Sơn, thành phố Tây Ninh, tỉnh Tây Ninh</t>
  </si>
  <si>
    <t>ĐT: 0392854140</t>
  </si>
  <si>
    <t>Thửa đất hiện trạng số 237
(Trích từ thửa đất số 104 , tờ BĐĐC số 43)</t>
  </si>
  <si>
    <t>Nhà cấp 4: Xây dựng năm 1990, không giấy phép
Kết cấu: Móng gạch + BTCT, cột gạch + BTCT, sán BTCT + gỗ, mái tôn, trần tôn lạnh + gỗ, vách xây gạch tô sơn P, nền gạch men, cửa kép xếp + sắt kính, có hệ thống nhà vệ sinh bên trong</t>
  </si>
  <si>
    <t>Huỳnh Tấn Hào
Lương Thị Kim Loan</t>
  </si>
  <si>
    <t>CCCD: 072078007481</t>
  </si>
  <si>
    <t>ĐC:  645 đường Bời Lời, Khu phố Ninh An, phường Ninh Sơn, thành phố Tây Ninh, tỉnh Tây Ninh</t>
  </si>
  <si>
    <t>ĐT: 0918383932</t>
  </si>
  <si>
    <t xml:space="preserve">Số phát hành GCN: CP292019
Số vào sổ: CS 09564
Ngày cấp: 19/9/2018
</t>
  </si>
  <si>
    <t xml:space="preserve">Số phát hành GCN: DA015858
Số vào sổ: CS 13542
Ngày cấp: 30/12/2020
</t>
  </si>
  <si>
    <t>Thửa đất hiện trạng số 219
(Trích từ thửa đất số 382, tờ BĐĐC số 43)</t>
  </si>
  <si>
    <t>Trần Thị Lân</t>
  </si>
  <si>
    <t>CCCD: 052154009632</t>
  </si>
  <si>
    <t>ĐC:  641 đường Bời Lời, Khu phố Ninh An, phường Ninh Sơn, thành phố Tây Ninh, tỉnh Tây Ninh</t>
  </si>
  <si>
    <t>ĐT: 0797082856</t>
  </si>
  <si>
    <t xml:space="preserve">Số phát hành GCN: CQ150836
Số vào sổ: CS 10200
Ngày cấp: 14/4/2019
</t>
  </si>
  <si>
    <t>Thửa đất hiện trạng số 221
(Trích từ thửa đất số 65, tờ BĐĐC số 43)</t>
  </si>
  <si>
    <t>Nhà cấp 4: Xây dựng năm 2000, không giấy phép
Kết cấu: Móng gạch + BTCT, cột gạch + BTCT, sán BTCT + gỗ, mái tôn, tường xây gạch tô quét vôi, trần tôn lạnh, nền gạch men, cửa sắt cuốn</t>
  </si>
  <si>
    <t>Nhà cấp III: Xây dựng năm 2001, không giấy phép
Kết cấu: Móng  BTCT, khung cột đà BTCT,  tường xây gạch tô sơn P, trần tôn lạnh, nền gạch men, sàn gỗ (ban công 0,5m x 3,05m) cửa kép xếp, mái tôn, trần tôn lạnh, có hệ thống vệ sinh bên trong</t>
  </si>
  <si>
    <t>Đào Thị Tuyết Mai</t>
  </si>
  <si>
    <t>CCCD: 052164000350</t>
  </si>
  <si>
    <t>Nguyễn Xuân Thành</t>
  </si>
  <si>
    <t>CCCD: 052055000185</t>
  </si>
  <si>
    <t>ĐC:  681 đường Bời Lời, Khu phố Ninh An, phường Ninh Sơn, thành phố Tây Ninh, tỉnh Tây Ninh</t>
  </si>
  <si>
    <t>ĐT: 0915271058</t>
  </si>
  <si>
    <t xml:space="preserve">Số phát hành GCN: DP505292
Số vào sổ: VP19969
Ngày cấp: 24/5/2024
</t>
  </si>
  <si>
    <t>Huỳnh Tấn Cường</t>
  </si>
  <si>
    <t>CCCD: 072074000106</t>
  </si>
  <si>
    <t>ĐC:  675 đường Bời Lời, Khu phố Ninh An, phường Ninh Sơn, thành phố Tây Ninh, tỉnh Tây Ninh</t>
  </si>
  <si>
    <t>ĐT: 0918531007</t>
  </si>
  <si>
    <t xml:space="preserve">Số phát hành GCN: T996373
Số vào sổ: 06349
Ngày cấp: 28/9/2001
</t>
  </si>
  <si>
    <t>Thửa đất hiện trạng số 263
(Trích từ thửa đất số 834, tờ BĐĐC số 4)</t>
  </si>
  <si>
    <t>Nhà cấp 4: xây dựng năm 2003, không giấy phép
Kết cấu: Móng gạch + BTCT, cột gạch + BTCT, tường xây gạch tô sơn P, mái lợp tôn, trần tôn lạnh, nền gạch men, không có hệ thống vệ sinh bên trong</t>
  </si>
  <si>
    <t>Võ Văn Ái</t>
  </si>
  <si>
    <t>ĐC:  84 đường Bời Lời, Khu phố Ninh Trung, phường Ninh Sơn, thành phố Tây Ninh, tỉnh Tây Ninh</t>
  </si>
  <si>
    <t>CCCD: 072058001981</t>
  </si>
  <si>
    <t>ĐT: 0909176726</t>
  </si>
  <si>
    <t>Thửa đất hiện trạng số 373
(Trích từ thửa đất số 771, tờ BĐĐC số 4)</t>
  </si>
  <si>
    <t xml:space="preserve">Số phát hành GCN: R518207
Số vào sổ: 05834
Ngày cấp: 21/8/2000
</t>
  </si>
  <si>
    <t>Nhà cấp 4: xây dựng năm 2000, không giấy phép
Kết cấu: Móng gạch + BTCT, cột gạch + BTCT, tường xây gạch tô sơn P, mái lợp tôn, trần tấm nhựa thả, nền gạch men, cửa sắt cuốn, có hệ thống vệ sinh bên trong</t>
  </si>
  <si>
    <t>Mái che khung sắt tiền chế lợp tôn, không vách, nền gạch tezero (xây dựng năm 2000)</t>
  </si>
  <si>
    <t>Di dời hàng rào song sắt (tương đương di dời cổng rào sắt)</t>
  </si>
  <si>
    <t>Nguyễn Ngọc Nhàn</t>
  </si>
  <si>
    <t>CCCD: 052048000059</t>
  </si>
  <si>
    <t>ĐC:  665 đường Bời Lời, Khu phố Ninh Trung, phường Ninh Sơn, thành phố Tây Ninh, tỉnh Tây Ninh</t>
  </si>
  <si>
    <t>ĐT: 0907648665</t>
  </si>
  <si>
    <t>Thửa đất hiện trạng số 240
(Trích từ thửa đất số 33, tờ BĐĐC số 4)</t>
  </si>
  <si>
    <t xml:space="preserve">Số phát hành GCN: S964246
Số vào sổ: 06195
Ngày cấp: 13/7/2001
</t>
  </si>
  <si>
    <t>Nhà cấp III: xây dựng năm 2000, không giấy phép
Kết cấu: Móng gạch + BTCT, cột gạch + BTCT, đà BTCT, tường xây gạch tô sơn P, mái lợp tôn, trần tôn lạnh, nền gạch men, cửa sắt kính, có hệ thống vệ sinh bên trong</t>
  </si>
  <si>
    <t>Ban công nhà cấp III</t>
  </si>
  <si>
    <t>Nguyễn Hoàng Kim
Phạm Thị Tuyết</t>
  </si>
  <si>
    <t>CCCD: 072090003563</t>
  </si>
  <si>
    <t>ĐC:  663 đường Bời Lời, Khu phố Ninh Trung, phường Ninh Sơn, thành phố Tây Ninh, tỉnh Tây Ninh</t>
  </si>
  <si>
    <t>ĐT: 0976114434</t>
  </si>
  <si>
    <t xml:space="preserve">Số phát hành GCN: DK 372825
Số vào sổ: CS14248
Ngày cấp: 28/4/2023
</t>
  </si>
  <si>
    <t>Thửa đất hiện trạng số 241
(Trích từ thửa đất số 83, tờ BĐĐC số 43)</t>
  </si>
  <si>
    <t>Nhà cấp IV: xây dựng năm 2000, không giấy phép
Kết cấu: Móng gạch + BTCT, cột gạch + BTCT, đà BTCT, tường xây gạch tô sơn P, mái lợp tôn, trần tôn lạnh, nền gạch men, cửa kép xếp + sắt kính, có hệ thống vệ sinh bên trong</t>
  </si>
  <si>
    <t>Nhà tạm xây dựng năm 2000
Kết cấu: khung sắt tiền chế, mái tôn, vách nhôm kính, nền gạch men, trần tôn lạnh</t>
  </si>
  <si>
    <t>Tường 20cm của nhà cấp III</t>
  </si>
  <si>
    <t>Mai Văn Long
Nguyễn Thị Huệ</t>
  </si>
  <si>
    <t>CCCD: 072077010634</t>
  </si>
  <si>
    <t>ĐC:  655 đường Bời Lời, Khu phố Ninh Trung, phường Ninh Sơn, thành phố Tây Ninh, tỉnh Tây Ninh</t>
  </si>
  <si>
    <t>ĐT: 0988315752</t>
  </si>
  <si>
    <t>Thửa đất hiện trạng số 246
(Trích từ thửa đất số 381, tờ BĐĐC số 43)</t>
  </si>
  <si>
    <t xml:space="preserve">Số phát hành GCN: AO 473270
Số vào sổ: H05094
Ngày cấp: 04/12/2009
</t>
  </si>
  <si>
    <t>Nhà cấp IV: xây dựng năm 2002, sửa xguwxa năm 2004, không giấy phép
Kết cấu: Móng khung cột đà BTCT, tường xây gạch tô sơn P, mái lợp tôn, trần tôn lạnh, nền gạch men, cửa kép xếp, có hệ thống vệ sinh bên trong</t>
  </si>
  <si>
    <t>Mái che khung sắt tiền chế, mái tôn, không vách, nền xi măng (xây dựng năm 2021)</t>
  </si>
  <si>
    <t>Nguyễn Mạnh Thường
Nguyễn Thị Trang</t>
  </si>
  <si>
    <t>CCCD: 072069002144</t>
  </si>
  <si>
    <t>ĐC:  20 đường số 26 Bời Lời, Khu phố Ninh Trung, phường Ninh Sơn, thành phố Tây Ninh, tỉnh Tây Ninh</t>
  </si>
  <si>
    <t>ĐT: 0919585739</t>
  </si>
  <si>
    <t>Thửa đất hiện trạng số 245
(Trích từ thửa đất số 84, tờ BĐĐC số 43)</t>
  </si>
  <si>
    <t xml:space="preserve">Số phát hành GCN: DB931056
Số vào sổ: CS 15350
Ngày cấp: 10/01/2022
</t>
  </si>
  <si>
    <t>Nhà cấp IV: Mua đất 2022 có sẵn nhà, sữa chữa năm 2022, không giấy phép
Kết cấu: Móng khung cột đà BTCT, tường xây gạch tô sơn P, ốp gạch quy cách 300 x 400 cao 1,8m, mái lợp tôn, trần tấm nhựa tahr, nền gạch men, cửa sắt kính, có hệ thống vệ sinh bên trong</t>
  </si>
  <si>
    <t>Mái che khung sắt tiền chế, mái tôn, có vách, nền gạch men (xây dựng năm …....)</t>
  </si>
  <si>
    <t>Đào Văn Hùng</t>
  </si>
  <si>
    <t>CCCD: 072061000572</t>
  </si>
  <si>
    <t>ĐC:  659 đường Bời Lời, Khu phố Ninh An, phường Ninh Sơn, thành phố Tây Ninh, tỉnh Tây Ninh</t>
  </si>
  <si>
    <t>ĐT: 0386560519</t>
  </si>
  <si>
    <t xml:space="preserve">Số phát hành GCN: S964231
Số vào sổ: 
Ngày cấp: 13/7/2001
</t>
  </si>
  <si>
    <t>Nhà cấp III: xây dựng năm 1991 sửa chữa năm 2000, không giấy phép
Kết cấu: Móng khung cột đà BTCT, tường xây gạch tô sơn P, mái lợp tôn, trần tấm nhựa thả, nền gạch men, sán gỗ, cửa sắt kính + kéo xếp, có hệ thống vệ sinh bên trong</t>
  </si>
  <si>
    <t>Huỳnh Thị Ái</t>
  </si>
  <si>
    <t>CCCD: 052155000119</t>
  </si>
  <si>
    <t>ĐC:  262 đường Bời Lời, Khu phố Ninh An, phường Ninh Sơn, thành phố Tây Ninh, tỉnh Tây Ninh</t>
  </si>
  <si>
    <t>ĐT: 0976966530</t>
  </si>
  <si>
    <t>Số phát hành GCN:I996363
Số vào sổ: 
Ngày cấp: 26/9/2001</t>
  </si>
  <si>
    <t>Thửa đất hiện trạng số 243
(Trích từ thửa đất số 31, tờ BĐĐC số 4)</t>
  </si>
  <si>
    <t>Huỳnh Công Hòa</t>
  </si>
  <si>
    <t>CCCD: 052049007168</t>
  </si>
  <si>
    <t>ĐC:  649 đường Bời Lời, Khu phố Ninh An, phường Ninh Sơn, thành phố Tây Ninh, tỉnh Tây Ninh</t>
  </si>
  <si>
    <t>Thửa đất hiện trạng số 217
(Trích từ thửa đất số 25, tờ BĐĐC số 4)</t>
  </si>
  <si>
    <t>Số phát hành GCN: 
Số vào sổ: 06179
Ngày cấp: 13/7/2001</t>
  </si>
  <si>
    <t>Nhà cấp III: xây dựng năm 1990, không giấy phép
Kết cấu: Móng khung cột đà sàn BTCT, tường xây gạch tô quyest vôi, mái lợp tôn, trần tôn lạnh tầng trệt, nền gạch men, sàn gỗ, không đóng trần trên gác, cửa sắt kính + cửa kéo xếp, có hệ thống vệ sinh bên trong, ban công 0,6m x 3,95m</t>
  </si>
  <si>
    <t>Võ Thị Rợ</t>
  </si>
  <si>
    <t>CCCD: 072179001002</t>
  </si>
  <si>
    <t>ĐT: 0865509826</t>
  </si>
  <si>
    <t>ĐC:  Ấp Long Hòa, xã Long Chữ, huyện Bến Cầu, tỉnh Tây Ninh</t>
  </si>
  <si>
    <t>Thửa đất hiện trạng số 247
(Trích từ thửa đất số 85, tờ BĐĐC số 43)</t>
  </si>
  <si>
    <t>Số phát hành GCN: BV049476
Số vào sổ: CH04398
Ngày cấp: 10/3/2015</t>
  </si>
  <si>
    <t>Nhà cấp IV: chuyển nhượng năm 2015 đã có nhà sẵn, sữa chữa cải tạo năm 2016, không giấy phép
Kết cấu: Móng gạch + BTCT, cột gạch + BTCT, tường xây gạch tô sơn P, nền gạch men, mái lợp tôn, trần thạch cao, cửa sắt, vệ sinh trong nhà</t>
  </si>
  <si>
    <t>Ngô Thị Chi</t>
  </si>
  <si>
    <t>CCCD: 052156000002</t>
  </si>
  <si>
    <t>ĐC:  253 đường Nguyễn Chí Thanh, khu phố 5, phường 3, thành phố Tây Ninh, tỉnh Tây Ninh</t>
  </si>
  <si>
    <t>ĐT: 0985929752</t>
  </si>
  <si>
    <t>Số phát hành GCN: T996368
Số vào sổ: 06344
Ngày cấp: 28/9/2001</t>
  </si>
  <si>
    <t>Thửa đất hiện trạng số  248
(Trích từ thửa đất số 26, tờ BĐĐC số 4)</t>
  </si>
  <si>
    <t>Nhà cấp IV: xây dựng năm 1991, không giấy phép
Kết cấu: Móng gạch + BTCT, cột gạch + BTCT, tường xây gạch tô sơn P, nền gạch men, mái lợp tôn, trần tôn lạnh, cửa sắt kính, vệ sinh trong nhà</t>
  </si>
  <si>
    <t>CCCD: 052062000136</t>
  </si>
  <si>
    <t>ĐC:  647 đường Bời Lời khu phố Ninh An, phường Ninh Sơn, thành phố Tây Ninh, tỉnh Tây Ninh</t>
  </si>
  <si>
    <t>ĐT: 0784430815</t>
  </si>
  <si>
    <t>Số phát hành GCN: CP364241
Số vào sổ: CS09681
Ngày cấp: 10/10/2018</t>
  </si>
  <si>
    <t>Thửa đất hiện trạng số 218  
(Trích từ thửa đất số 89, tờ BĐĐC số 43)</t>
  </si>
  <si>
    <t>Nhà cấp IV: xây dựng năm 1989, không giấy phép
Kết cấu: Móng gạch + BTCT, cột gạch + BTCT, tường xây gạch tô sơn P, nền gạch men, mái lợp tôn, trần tôn lạnh, cửa sắt kéo, vệ sinh trong nhà</t>
  </si>
  <si>
    <t>CCCD: 060083003784</t>
  </si>
  <si>
    <t>ĐC bà Nương:  647 đường Bời Lời khu phố Ninh An, phường Ninh Sơn, thành phố Tây Ninh, tỉnh Tây Ninh</t>
  </si>
  <si>
    <t>ông Nguyễn Chí Tâm</t>
  </si>
  <si>
    <t>ĐC ông Tâm:  xã Phong Nẫm, thành phố Phan Thiết, tỉnh Bình Thuận</t>
  </si>
  <si>
    <t>ĐT: 0907013199</t>
  </si>
  <si>
    <t>Thửa đất hiện trạng số 220  
(Trích từ thửa đất số 90, tờ BĐĐC số 43)</t>
  </si>
  <si>
    <t>Số phát hành GCN: CT244959
Số vào sổ: CS11643
Ngày cấp: 11/11/2019</t>
  </si>
  <si>
    <t>Nhà cấp III: xây dựng năm 2000 (khi mua đất đã có sẵn nhà) cải tạo sữa chữa năm 2025 không giấy phép
Kết cấu: Móng gạch + BTCT, khung đà cột BTCT, tường xây gạch tô sơn P, nền gạch men, mái lợp tôn, trần tấm nhựa tahr, cửa sắt cuốn + kính, vệ sinh bên trong nhà</t>
  </si>
  <si>
    <t>CCCD: 052155000156</t>
  </si>
  <si>
    <t>Đào Thị Hiệp</t>
  </si>
  <si>
    <t>ĐC 667 đường Bời Lời khu phố Ninh An, phường Ninh Sơn, thành phố Tây Ninh, tỉnh Tây Ninh</t>
  </si>
  <si>
    <t>ĐT: 0975360876</t>
  </si>
  <si>
    <t>Thửa đất hiện trạng số 239
(Trích từ thửa đất số 835, tờ BĐĐC số 4)</t>
  </si>
  <si>
    <t>Số phát hành GCN: 
Số vào sổ: 061783
Ngày cấp:13/7/2001</t>
  </si>
  <si>
    <t>Nhà cấp III: xây dựng năm 2003, không giấy phép
Kết cấu: Móng gạch + BTCT, khung đà cột BTCT, tường xây gạch tô sơn P, nền gạch men, mái lợp tôn, trần tấm nhựa thả, có gác gỗ, sàn gỗ trần tôn lạnh, cửa sắt kéo, ban công 0,8m x 3,0m, vệ sinh bên trong nhà</t>
  </si>
  <si>
    <t>Cao Minh Chương
Võ Thị Thơi</t>
  </si>
  <si>
    <t>CCCD: 072069001780</t>
  </si>
  <si>
    <t>ĐC 751 đường Bời Lời khu phố Ninh An, phường Ninh Sơn, thành phố Tây Ninh, tỉnh Tây Ninh</t>
  </si>
  <si>
    <t>ĐT: 0917604909</t>
  </si>
  <si>
    <t>Thửa đất hiện trạng số 337
(Trích từ thửa đất số 118, tờ BĐĐC số 41)</t>
  </si>
  <si>
    <t>Mái che khung sắt tiền chế lợp tôn, không vách, nền xi măng (xây dựng năm 2000)</t>
  </si>
  <si>
    <t>Mái che cột bê tông xi măng + cột gạch, khung gỗ, lợp tôn, vách tôn, nền xi măng (xây dựng năm 2000)</t>
  </si>
  <si>
    <t>Giếng khoan sâu 45m</t>
  </si>
  <si>
    <t>Ống nhựa Bình Minh ĐK27mm</t>
  </si>
  <si>
    <t>Ống nhựa Bình Minh ĐK34mm</t>
  </si>
  <si>
    <t>Chậu kiểng nhựa</t>
  </si>
  <si>
    <t>Chậu kiểng đường kính 60cm</t>
  </si>
  <si>
    <t>CCCD: 072181001709</t>
  </si>
  <si>
    <t>ĐC 460 đường Bời Lời khu phố Ninh Trung, phường Ninh Sơn, thành phố Tây Ninh, tỉnh Tây Ninh</t>
  </si>
  <si>
    <t>ĐT: 0919236525</t>
  </si>
  <si>
    <t>Số phát hành GCN: DN695240
Số vào sổ: 
Ngày cấp:09/01/2020</t>
  </si>
  <si>
    <t>Thửa đất hiện trạng số 279
(Trích từ thửa đất số 499, tờ BĐĐC số 42)</t>
  </si>
  <si>
    <t>Nguyễn Văn Hải
Huỳnh Ngọc Chơn</t>
  </si>
  <si>
    <t>CCCD: 079053004959</t>
  </si>
  <si>
    <t>ĐC 617 đường Bời Lời khu phố Ninh An, phường Ninh Sơn, thành phố Tây Ninh, tỉnh Tây Ninh</t>
  </si>
  <si>
    <t>ĐT: 0981077257</t>
  </si>
  <si>
    <t>Thửa đất hiện trạng số 213
(Trích từ thửa đất số 53, tờ BĐĐC số 43)</t>
  </si>
  <si>
    <t>Số phát hành GCN: DL987925
Số vào sổ: CH18533
Ngày cấp:13/10/2023</t>
  </si>
  <si>
    <t>Nhà cấp III: xây dựng năm 2001, không giấy phép (cấp đổi GCBQSD đất 2023)
Kết cấu: Móng gạch + BTCT, khung đà cột BTCT, tường xây gạch tô sơn P, mái lợp tôn, sàn BTCT dày 100mm, phía dưới sàn có đóng trần tấn nhựa thả, nền gạch men, cửa sắt kính, ban công 1,4m x 4,22m, vệ sinh bên trong nhà</t>
  </si>
  <si>
    <t>Mái che khung sắt tiền chế lợp tôn, có vách, nền xi măng (xây dựng năm         )</t>
  </si>
  <si>
    <t>Võ Hồng Thái</t>
  </si>
  <si>
    <t>CCCD: 072073007778</t>
  </si>
  <si>
    <t>ĐC 547 đường Bời Lời khu phố Ninh Thọ, phường Ninh Sơn, thành phố Tây Ninh, tỉnh Tây Ninh</t>
  </si>
  <si>
    <t>Thửa đất hiện trạng số 76
(Trích từ thửa đất số 169, tờ BĐĐC số 37)</t>
  </si>
  <si>
    <t>Số phát hành GCN: AI 078193
Số vào sổ: H02964/NS
Ngày cấp:20/6/2007</t>
  </si>
  <si>
    <t>Mái che khung sắt, kèo gỗ, mái lợp tôn, không vách, nền xi măng (xây dựng năm 2000)</t>
  </si>
  <si>
    <t>Nguyễn Văn Tư</t>
  </si>
  <si>
    <t>CCCD: 072064003137</t>
  </si>
  <si>
    <t>ĐC 531B đường Bời Lời khu phố Ninh Thọ, phường Ninh Sơn, thành phố Tây Ninh, tỉnh Tây Ninh</t>
  </si>
  <si>
    <t>ĐT:0792129818</t>
  </si>
  <si>
    <t>Thửa đất hiện trạng số 64,66
(Trích từ thửa đất số 638,635, tờ BĐĐC số 37)</t>
  </si>
  <si>
    <t>Số phát hành GCN: CI690474, CI690475
Số vào sổ: 
Ngày cấp: 14/10/2020</t>
  </si>
  <si>
    <t>Nhà kho loại 3, xây dựng năm 2015, không phép
Kết cấu: Khung sắt tiền chế, vách tôn, tường lững xây tô sơn P cao 1,01m, mái lợp tôn phía dưới có tấm cách nhiệt, nền xi măng, cửa khung sắt hộp</t>
  </si>
  <si>
    <t>Mái che khung sắt tiền chế, mái lợp tôn, có vách, nền xi măng (xây dựng năm 2011, không phép) (Thửa 638)</t>
  </si>
  <si>
    <t>Mái che khung sắt tiền chế, mái lợp tôn, không vách, nền xi măng (xây dựng năm 2015, không phép) (Thửa 635)</t>
  </si>
  <si>
    <t>CCCD: 072087007111</t>
  </si>
  <si>
    <t>ĐC 533 đường Bời Lời khu phố Ninh Thọ, phường Ninh Sơn, thành phố Tây Ninh, tỉnh Tây Ninh</t>
  </si>
  <si>
    <t>Đỗ Chí Đại
Nguyễn Hoàng Lam Giang</t>
  </si>
  <si>
    <t>ĐT:0789268368</t>
  </si>
  <si>
    <t>Số phát hành GCN: DP523781, DP523780
Số vào sổ: 
Ngày cấp: 06/9/2024</t>
  </si>
  <si>
    <t>Mái che khung sắt tiền chế, mái bạc kéo, không vách, nền đất (xây dựng năm 2022, không phép)</t>
  </si>
  <si>
    <t>Hàng rào song sắt, móng xây gạch cao 0,6m tô sơn P</t>
  </si>
  <si>
    <t>DT tính đến nhịp cột 23,4m2</t>
  </si>
  <si>
    <t>Ống nhựa Bình Minh đường kính 21mm</t>
  </si>
  <si>
    <t>Dây trầu bà</t>
  </si>
  <si>
    <t>Cây si đường kính 2cm</t>
  </si>
  <si>
    <t>Cây dâu 8 năm</t>
  </si>
  <si>
    <t>CCCD: 072075008252</t>
  </si>
  <si>
    <t>ĐC 539 đường Bời Lời khu phố Ninh Thọ, phường Ninh Sơn, thành phố Tây Ninh, tỉnh Tây Ninh</t>
  </si>
  <si>
    <t>ĐT:0971770157</t>
  </si>
  <si>
    <t>Số phát hành GCN: AO466167
Số vào sổ: H04348
Ngày cấp: 16/02/2009</t>
  </si>
  <si>
    <t>Thửa đất hiện trạng số 83
(Trích từ thửa đất số 155, tờ BĐĐC số 37)</t>
  </si>
  <si>
    <t>Nhà cấp 4, Xây dựng năm ….....
Kết cấu: Móng gạch +BTCT, cột gạch + BTCT, tường xây gạch tô sơn P, mái lợp tôn, trần tôn lạnh, nền gạch men, cửa xếp khung sắt kính, vệ sinh bên trong</t>
  </si>
  <si>
    <t>Nguyễn Văn Chặt</t>
  </si>
  <si>
    <t>CCCD: 080061006815</t>
  </si>
  <si>
    <t>ĐC 557 đường Bời Lời khu phố Ninh Thọ, phường Ninh Sơn, thành phố Tây Ninh, tỉnh Tây Ninh</t>
  </si>
  <si>
    <t>ĐT:0984975870</t>
  </si>
  <si>
    <t>Nhà cấp 4, Xây dựng năm 1995, sửa chữa cải tạo năm 2020, không giấp phép
Kết cấu: Móng gạch +BTCT, cột gỗ + gạch + BTCT, tường xây gạch tô sơn P, mái lợp ngói, trần thạch cao, nền gạch men, cửa đi kéo xếp kính cường lực</t>
  </si>
  <si>
    <t>Trương Hồng Duy</t>
  </si>
  <si>
    <t>CCCD: 072086005089</t>
  </si>
  <si>
    <t>ĐC 541 đường Bời Lời khu phố Ninh Thọ, phường Ninh Sơn, thành phố Tây Ninh, tỉnh Tây Ninh</t>
  </si>
  <si>
    <t>ĐT:0945815959</t>
  </si>
  <si>
    <t>Mái che xây dựng năm 2001, không giấp phép
Kết cấu: Khung sắt tiền chế, không vách, mái lợp tôn, nền gạch tezero</t>
  </si>
  <si>
    <t>Hòn non bộ</t>
  </si>
  <si>
    <t>Ống cống đường kính 1m</t>
  </si>
  <si>
    <t>Ống nhựa PVC Bình Minh 21mm</t>
  </si>
  <si>
    <t>Ống nhựa PVC Bình Minh 27mm</t>
  </si>
  <si>
    <t>Nguyễn Thị Hoa Liên</t>
  </si>
  <si>
    <t>CCCD: 072180004447</t>
  </si>
  <si>
    <t>ĐC 549 đường Bời Lời khu phố Ninh Thọ, phường Ninh Sơn, thành phố Tây Ninh, tỉnh Tây Ninh</t>
  </si>
  <si>
    <t>ĐT:0369464143</t>
  </si>
  <si>
    <t>Số phát hành GCN: CS338963
Số vào sổ: 
Ngày cấp: 30/8/2019</t>
  </si>
  <si>
    <t xml:space="preserve">Thửa đất hiện trạng số 96
(Trích từ thửa đất số  168 , tờ BĐĐC số 37 </t>
  </si>
  <si>
    <t>Mái che xây dựng năm        , không giấy phép
Kết cấu: Khung sắt tiền chế, 01 vách, mái lợp tôn, nền gạch tezero</t>
  </si>
  <si>
    <t>Nguyễn Thị Kim Loan</t>
  </si>
  <si>
    <t>CCCD: 072163004744</t>
  </si>
  <si>
    <t>ĐC 551 đường Bời Lời khu phố Ninh Thọ, phường Ninh Sơn, thành phố Tây Ninh, tỉnh Tây Ninh</t>
  </si>
  <si>
    <t>ĐT: 0825451609</t>
  </si>
  <si>
    <t>Thửa đất hiện trạng số 95
(Trích từ thửa đất số  139 , tờ BĐĐC số 5</t>
  </si>
  <si>
    <t>Số phát hành GCN: H090254
Số vào sổ: 
Ngày cấp: 29/01/1992</t>
  </si>
  <si>
    <t>Nhà cấp 4, xây dựng năm 1997, không giấy phép
Kết cấu: Móng gạch + BTCT, cột gạch + BTCT, tường xây gạch tô sơn P, mái lợp tôn, không trần, nền gạch men, cửa sắt, không có hệ thống vệ sinh bên trong</t>
  </si>
  <si>
    <t>Hàng rào song sắt, móng xây gạch</t>
  </si>
  <si>
    <t>Ốp gạch men</t>
  </si>
  <si>
    <t>Trần Văn Thuần
Nguyễn Thị Bích Ngọc</t>
  </si>
  <si>
    <t>CCCD: 0720600001989</t>
  </si>
  <si>
    <t>ĐC Khu phố 1, phường 1, thành phố Tây Ninh, tỉnh Tây Ninh</t>
  </si>
  <si>
    <t>Số phát hành GCN: DK103375
Số vào sổ: VP18389
Ngày cấp: 01/6/2023</t>
  </si>
  <si>
    <t>Thửa đất hiện trạng số 65
(Trích từ thửa đất số 697, tờ BĐĐC số 37</t>
  </si>
  <si>
    <t>Nguyễn Đình Nam</t>
  </si>
  <si>
    <t>CCCD: 072067002924</t>
  </si>
  <si>
    <t>ĐC: Đường Bời Lời, Khu phố Ninh Trung, phường Ninh Sơn, thành phố Tây Ninh, tỉnh Tây Ninh</t>
  </si>
  <si>
    <t>Số phát hành GCN: DA700736
Số vào sổ: CS14036
Ngày cấp: 16/4/2021</t>
  </si>
  <si>
    <t>Mái che khung sắt, xà gồ gỗ, mái lợp tôn, không vách, nền gạch tezero (xây dựng năm 2002, không giấy phép)</t>
  </si>
  <si>
    <t>Võ Thị Thùy Quy</t>
  </si>
  <si>
    <t>CCCD: 072173010358</t>
  </si>
  <si>
    <t>Số phát hành GCN: BB847659
Số vào sổ: 
Ngày cấp: 25/8/2010</t>
  </si>
  <si>
    <t>Thửa đất hiện trạng số 33
(Trích từ thửa đất số 133, tờ BĐĐC số 37</t>
  </si>
  <si>
    <t>Cây xanh đường kính 100cm</t>
  </si>
  <si>
    <t>CCCD: 052055000005</t>
  </si>
  <si>
    <t>ĐC: số 17 hẻm 11 đường Bời Lời, Khu phố Ninh Thọ, phường Ninh Sơn, thành phố Tây Ninh, tỉnh Tây Ninh</t>
  </si>
  <si>
    <t>ĐT: 0859859256</t>
  </si>
  <si>
    <t>Số phát hành GCN: 
Số vào sổ: 
Ngày cấp: 05/10/1996</t>
  </si>
  <si>
    <t>Đỗ Phúc Nho</t>
  </si>
  <si>
    <t>Thửa đất hiện trạng số 31
(Trích từ thửa đất số 405, tờ BĐĐC số 2</t>
  </si>
  <si>
    <t>Nhà cấp 4 (xây dựng năm 2000, không giấy phép)
Kết cấu: Móng gạch, cột gạch, tường xây gạch tô sơn P, trần tấm nhựa thả, mái lợp tôn, nền gạch men, cửa kéo xếp</t>
  </si>
  <si>
    <t>Trần Văn Rai
Lê Thị Chi</t>
  </si>
  <si>
    <t>CCCD: 080070003038</t>
  </si>
  <si>
    <t>ĐC: số 298 đường Bời Lời, Khu phố Ninh Trung, phường Ninh Sơn, thành phố Tây Ninh, tỉnh Tây Ninh</t>
  </si>
  <si>
    <t>ĐT: 0916376611</t>
  </si>
  <si>
    <t>Thửa đất hiện trạng số 29
(Trích từ thửa đất số 102, tờ BĐĐC số 37</t>
  </si>
  <si>
    <t>Số phát hành GCN: AC162345
Số vào sổ: 
Ngày cấp: 19/10/2005</t>
  </si>
  <si>
    <t>Nhà cấp 4 (xây dựng năm 2000, không giấy phép)
Kết cấu: Móng gạch + BTCT, cột gạch + BTCT, tường xây gạch tô quét vôi, không đóng trần, mái lợp tôn, nền xi măng, cửa kéo xếp, hệ thống vệ sinh bên trong</t>
  </si>
  <si>
    <t>Hồ Chánh
Đào Thị Thanh Hương</t>
  </si>
  <si>
    <t>ĐC: số      đường Bời Lời, Khu phố Ninh Trung, phường Ninh Sơn, thành phố Tây Ninh, tỉnh Tây Ninh</t>
  </si>
  <si>
    <t>Mái che bạt kéo, trụ sắt, nền đất</t>
  </si>
  <si>
    <t xml:space="preserve">Nguyễn Thị Tường Vi </t>
  </si>
  <si>
    <t>CCCD: 052164007707</t>
  </si>
  <si>
    <t xml:space="preserve">Nền gạch thẻ </t>
  </si>
  <si>
    <t>m²</t>
  </si>
  <si>
    <t>CCCD: 014087000065</t>
  </si>
  <si>
    <t>Đ/c: Số 36B, đường Nguyễn Văn Tốt, khu phố 3, phường 1, thành phố Tây Ninh, tỉnh Tây Ninh</t>
  </si>
  <si>
    <t>ĐT: 0906363268</t>
  </si>
  <si>
    <t>Nền gạch Terrazo</t>
  </si>
  <si>
    <t>Nguyễn Thanh Hoàng</t>
  </si>
  <si>
    <t>Số phát hành GCN: E0615214
Số vào sổ: 01690QSDĐ/D3
Ngày cấp: 18/12/1995</t>
  </si>
  <si>
    <t>CCCD: 072050000818</t>
  </si>
  <si>
    <t>Đ/c: Số 284 đường Bời Lời, khu phố Ninh Trung, phường Ninh Sơn, thành phố Tây Ninh, tỉnh Tây Ninh</t>
  </si>
  <si>
    <t xml:space="preserve">Bảng hiệu </t>
  </si>
  <si>
    <t xml:space="preserve">Chậu kiểng đường kính 120cm </t>
  </si>
  <si>
    <t>Chậu kiểng đường kính 100cm</t>
  </si>
  <si>
    <t>Lê Công Tuấn</t>
  </si>
  <si>
    <t>Thửa đất hiện trạng số 15
(Trích từ thửa đất số 437, tờ BĐĐC số 02)</t>
  </si>
  <si>
    <t>Số phát hành GCN: 
Số vào sổ: 06144QSDĐ/1622/XN-UB
Ngày cấp:</t>
  </si>
  <si>
    <t>CCCD: 052058000563</t>
  </si>
  <si>
    <t>Đ/c: Số 288 đường Bời Lời, khu phố Ninh Trung, phường Ninh Sơn, thành phố Tây Ninh, tỉnh Tây Ninh</t>
  </si>
  <si>
    <t>ĐT: 0976166590</t>
  </si>
  <si>
    <t>Nhà cấp IV: Xây dựng năm 1996, do hộ dân cung cấp thông tin
Kết cấu: Móng gạch + cợt gạch, tường xây gạch có tô + sơn bê, trần tôn lạnh, nền xi măng, cửa kéo xếp, có nhà vệ sinh trong nhà</t>
  </si>
  <si>
    <t>Mái che: Xây dựng năm 1996, do hộ dung cung cấp thông tin
Kết cấu: Mái lợp tole, không vách, có đóng trần tole lạnh, nền xi măng</t>
  </si>
  <si>
    <t>Nguyễn Hồng Hoàng
Phạm Thị Thanh Bình</t>
  </si>
  <si>
    <t>Số phát hành GCN: CO600784
Số vào sổ: 
Ngày cấp: 06/07/2018</t>
  </si>
  <si>
    <t>CCCD: 072080006985
             074182002569</t>
  </si>
  <si>
    <t>Đ/c: Số 289/3, khu phố 2, phường An Phú, Thành phố Thuận An, tỉnh Bình Dương</t>
  </si>
  <si>
    <t>ĐT: 098760780</t>
  </si>
  <si>
    <t>Hàng rào lưới B40, trụ bê tông, không xây chân</t>
  </si>
  <si>
    <t>Nguyễn Thị Được</t>
  </si>
  <si>
    <t>Thửa đất hiện trạng số 353
(Trích từ thửa đất số 1062, tờ BĐĐC số 41)</t>
  </si>
  <si>
    <t>CCCD: 02155001780</t>
  </si>
  <si>
    <t>Đ/c: Số 787 đường Bời Lời, khu phố Ninh An, phường Ninh Sơn, thành phố Tây Ninh, tỉnh Tây Ninh</t>
  </si>
  <si>
    <t>ĐT: 0938472483 (Chị Phương)</t>
  </si>
  <si>
    <t>Nhà cấp IV: Xây dựng năm 1984, do hộ dân cung cấp
Kết cấu: Móng gạch cột gạch + bê tông cốt thép, tường xây gạch có tô sơn bê, trần gỗ, mái lợp tole, nền gạch men, cửa gỗ, không có nhà vệ sinh bên trong</t>
  </si>
  <si>
    <t>Mái che: Xây dựng năm 1984, do hộ dung cung cấp thông tin
Kết cấu: Mái lợp tole, không vách, nền xi măng + gạch tàu</t>
  </si>
  <si>
    <t>m³</t>
  </si>
  <si>
    <t>Nguyễn Thúy Phương</t>
  </si>
  <si>
    <t>Thửa đất hiện trạng số 354
(Trích từ thửa đất số 1063, tờ BĐĐC số 41)</t>
  </si>
  <si>
    <t>Số phát hành GCN: CR213268
Số vào sổ: 
Ngày cấp: 01/07/2019</t>
  </si>
  <si>
    <t>CCCD: 072189005967</t>
  </si>
  <si>
    <t>Đ/c: Đường Bời Lời khu phố Ninh Trung, phường Ninh Sơn, thành phố Tây Ninh, tỉnh Tây Ninh</t>
  </si>
  <si>
    <t>Thửa đất hiện trạng số 69
(Trích từ thửa đất số 491, tờ BĐĐC số 36)</t>
  </si>
  <si>
    <t>Số phát hành GCN: BE434910
Số vào sổ: G01786
Ngày cấp: 05/01/2012</t>
  </si>
  <si>
    <t>Nền gạch Tezzarro</t>
  </si>
  <si>
    <t>Diện tích hết nhịp: 3,5m x 9,4m</t>
  </si>
  <si>
    <t>Hàng rào song sắt cao 1,6m tường xây gạch cao 0,6m dày 20 cm, ốp đá hoa cương có xây móng gạch + bê tông cốt thép</t>
  </si>
  <si>
    <t>Diện tích hết nhịp: (3,5m *(2,1m+0,6m))</t>
  </si>
  <si>
    <t>Trụ cổng bê tông cốt thép, ốp đá hoa cương Granit</t>
  </si>
  <si>
    <t xml:space="preserve">Ốp đá trụ cổng </t>
  </si>
  <si>
    <t>Mái che lợp ngói trụ cổng</t>
  </si>
  <si>
    <t>Cổng sắt hợp kim nhôm có hệ thống điều khiển</t>
  </si>
  <si>
    <t>Hàng rào xây gạch cao trên 2m dày 20cm, móng bê tông cốt thép, trụ bê tông cốt thép, chân tường ốp đá che cao 06m</t>
  </si>
  <si>
    <t>Diện tích hết nhịp: 2,8m x 3,5m</t>
  </si>
  <si>
    <t>Hàng rào song sắt cao 2,1m tường xây gạch cao 0,6m dày 20cm, ốp đá hoa cương có xây móng gạch + bê tông cốt thép</t>
  </si>
  <si>
    <t>Cây sứ 35 năm đường kính 25cm</t>
  </si>
  <si>
    <t xml:space="preserve">Cây lược vàng </t>
  </si>
  <si>
    <t xml:space="preserve">Cây mai đường kính 3cm cao trên 1m </t>
  </si>
  <si>
    <t xml:space="preserve">Cây mai đường kính 5cm cao trên 1m </t>
  </si>
  <si>
    <t>Cây lá vàng đường kính 5cm</t>
  </si>
  <si>
    <t>Cây lá vàng đường kính 10cm</t>
  </si>
  <si>
    <t xml:space="preserve">Nguyễn Hồng Sanh 
Phạm Thị Nhàn </t>
  </si>
  <si>
    <t>Thửa đất hiện trạng số 123
(Trích từ thửa đất số 388, tờ BĐĐC số 37)</t>
  </si>
  <si>
    <t>Số phát hành GCN: BE434991
Số vào sổ: 
Ngày cấp: 06/03/2012</t>
  </si>
  <si>
    <t>CCCD: 072070001147
             072177002202</t>
  </si>
  <si>
    <t>Đ/c: Số 573 đường Bời Lời, khu phố Ninh Thọ, phường Ninh Sơn, thành phố Tây Ninh, tỉnh Tây Ninh</t>
  </si>
  <si>
    <t>ĐT: 0917015814</t>
  </si>
  <si>
    <t xml:space="preserve">Nhà cấp IV: Xây dựng năm 2012, không phép
Kết cấu: Móng gạch + bê tông cốt thép, cột gạch + bê tông cốt thép, tường xây gạch có tô + sơn bê, mái tôn trần tôn lạnh, nền gạch men, cửa sắt cuốn, nhà vệ sinh trong </t>
  </si>
  <si>
    <t>Nhà tạm: Xây dựng năm 2012, không có giấy phép
Kết cấu: Khung kèo sắt, vách tôn 1 vách, mái tôn, trần tấm nhựa cách nhiệt, nền bê tông, cửa kéo xếp</t>
  </si>
  <si>
    <t xml:space="preserve">Nguyễn Thị Thúy Hằng </t>
  </si>
  <si>
    <t>Thửa đất hiện trạng số 148
(Trích từ thửa đất số 10, tờ BĐĐC số 43)</t>
  </si>
  <si>
    <t>Số phát hành GCN: CH084160
Số vào sổ: CS07154
Ngày cấp: 06/06/2017</t>
  </si>
  <si>
    <t>CCCD: 072187008001</t>
  </si>
  <si>
    <t>Đ/c: Số 14, đường số 11 Huỳnh Văn Thạnh, khu phố Ninh Lộc, phường Ninh Sơn, thành phố Tây Ninh, tỉnh Tây Ninh</t>
  </si>
  <si>
    <t>ĐT: 0934977757</t>
  </si>
  <si>
    <t xml:space="preserve">Hàng rào song sắt trụ xây gạch, móng xây gạch </t>
  </si>
  <si>
    <t xml:space="preserve">Diện tích đền hết nhịp cột: 2,9m x 2,5m </t>
  </si>
  <si>
    <t>Trương Trọng Nghĩa 
Phạm Thị Thúy</t>
  </si>
  <si>
    <t>Thửa đất hiện trạng số 146
(Trích từ thửa đất số 814, tờ BĐĐC số 43)</t>
  </si>
  <si>
    <t>CCCD: 072067001217
             0721810111184</t>
  </si>
  <si>
    <t>Đ/c: Số 593, đường Bời Lời, khu phố Ninh Thọ, phường Ninh Sơn, thành phố Tây Ninh, tỉnh Tây Ninh</t>
  </si>
  <si>
    <t>Nhà cấp IV: Xây dựng năm 2001, không có giấy phép xây dựng 
Kết cấu: Khung sắt tiền chế, mái tôn, trần tôn lạnh, cửa kéo xếp, nhà vệ sinh trong nhà</t>
  </si>
  <si>
    <t xml:space="preserve">Hà Thị Kim Diễm </t>
  </si>
  <si>
    <t>Thửa đất hiện trạng số 159
(Trích từ thửa đất số 550, tờ BĐĐC số 43)</t>
  </si>
  <si>
    <t xml:space="preserve">Số phát hành GCN: 
Số vào sổ: BP 429473
Ngày cấp: </t>
  </si>
  <si>
    <t>CCCD: 072183015632</t>
  </si>
  <si>
    <t>Đ/c: Số 595A, đường Bời Lời, khu phố Ninh Thọ, phường Ninh Sơn, thành phố Tây Ninh, tỉnh Tây Ninh</t>
  </si>
  <si>
    <t>ĐT: 0337711322</t>
  </si>
  <si>
    <t>Nhà cấp IV: Xây dựng năm 2003, mua đất có sẵn nhà năm 2013, không có giấy phép xây dựng 
Kết cấu: Móng gạch + bê tông cốt thép, cột gạch, tường xây gạch có tô quét vôi, trần tôn lạnh, mái tôn, nền gạch men, cửa kéo xếp, nhà vệ sinh trong nhà</t>
  </si>
  <si>
    <t>Phạm Minh Tiến</t>
  </si>
  <si>
    <t>Số phát hành GCN: CS1390
Số vào sổ: CY492562
Ngày cấp: 24/11/2020</t>
  </si>
  <si>
    <t>CCCD: 072084001311</t>
  </si>
  <si>
    <t>Đ/c: Số 579, đường Bời Lời, khu phố Ninh Thọ, phường Ninh Sơn, thành phố Tây Ninh, tỉnh Tây Ninh</t>
  </si>
  <si>
    <t>ĐT: 0919654025</t>
  </si>
  <si>
    <t>Nhà cấp IV: Xây dựng năm 1998, sữa chữa năm 2015, không có giấy phép xây dựng 
Kết cấu: Móng gạch + bê tông cốt thép, cột gạch + bê tông cốt thép, tường xây gạch có tô + sơn bê, trần tôn lạnh, mái tôn, nền gạch men, cửa kéo xếp, không có nhà vệ sinh trong nhà</t>
  </si>
  <si>
    <t>Chậu kiểng xi măng đường kính 20cm</t>
  </si>
  <si>
    <t>Phạm Thị Nhàn</t>
  </si>
  <si>
    <t>Thửa đất hiện trạng số 122
(Trích từ thửa đất số 246, tờ BĐĐC số 37)</t>
  </si>
  <si>
    <t>Số phát hành GCN: CS0689
Số vào sổ: CH 088389
Ngày cấp: 19/04/2017</t>
  </si>
  <si>
    <t>CCCD: 072177002202</t>
  </si>
  <si>
    <t>Đ/c: Số 573, đường Bời Lời, khu phố Ninh Thọ, phường Ninh Sơn, thành phố Tây Ninh, tỉnh Tây Ninh</t>
  </si>
  <si>
    <t>Nhà cấp IV: Xây dựng năm 2000, do hộ dân thông tin
Kết cấu: Móng gạch + bê tông cốt thép, cột gạch + bê tông cốt thép, tường xây gạch có tô quét vôi, trần tôn lạnh, nền gạch men, không có nhà vệ sinh, mái lợp tôn, cửa sắt cuốn</t>
  </si>
  <si>
    <t xml:space="preserve">Giếng khoan sâu 38m </t>
  </si>
  <si>
    <t xml:space="preserve">cái </t>
  </si>
  <si>
    <t>Số phát hành GCN: CS04534
Số vào sổ: BY613061
Ngày cấp: 12/05/20215</t>
  </si>
  <si>
    <t>CCCD: 072157000809</t>
  </si>
  <si>
    <t>Đ/c: Số 579 đường Bời Lời, khu phố Ninh Thọ, phường Ninh Sơn, thành phố Tây Ninh, tỉnh Tây Ninh</t>
  </si>
  <si>
    <t>ĐT: 0908865239 (chị Loan)</t>
  </si>
  <si>
    <t xml:space="preserve">Nhà cấp IV: Xây dựng năm 1998, sữa chữa năm 2015, do thông tin hộ dân cung cấp
Kết cấu: Móng gạch + bê tông cốt thép, cột gạch + bê tông cốt thép, tường xây gạch có tô + sơn bê, mái tôn trần tôn lạnh, nền gạch men, cửa kéo sếp, không có nhà vệ sinh trong </t>
  </si>
  <si>
    <t>Nhà cấp IV: Xây dựng năm 1998, sữa chữa năm 2015, do thông tin hộ dân cung cấp
Kết cấu: Móng gạch + bê tông cốt thép, cột gạch + bê tông cốt thép, tường xây gạch có tô + sơn bê, có một mặt không tô, mái tôn, trần tôn lạnh, nền gạch men, cửa sắt kéo + nhôm kính, có nhà vệ sinh bên trong nhà</t>
  </si>
  <si>
    <t>Mái che xây dựng năm 2015, do hộ dân thông tin
Kết cấu: Khung sắt tiền chế, mái lợp tôn, không vách nền xi măng</t>
  </si>
  <si>
    <t>Diện tích hết nhịp cột: = 3,6m x 1,8m =6,48m²</t>
  </si>
  <si>
    <t xml:space="preserve">Chậu nhựa </t>
  </si>
  <si>
    <t xml:space="preserve">Cây mít 05 năm </t>
  </si>
  <si>
    <t>Phạm Văn Thanh</t>
  </si>
  <si>
    <t>Thửa đất hiện trạng số 137, 136
(Trích từ thửa đất số 953,954, tờ BĐĐC số 05)</t>
  </si>
  <si>
    <t>* Thửa 953,954:
Số phát hành GCN: 00809QSDĐ/3116/TT-ĐC
Số vào sổ: X206462
Ngày cấp: 06/08/2003
* Thửa 656:
Số phát hành GCN: CS06932
Số vào sổ: CH088133
Cấp ngày: 03/04/20217</t>
  </si>
  <si>
    <t>CCCD: 07207500420</t>
  </si>
  <si>
    <t>Đ/c: Số 581 đường Bời Lời, khu phố Ninh Thọ, phường Ninh Sơn, thành phố Tây Ninh, tỉnh Tây Ninh</t>
  </si>
  <si>
    <t>ĐT: 0983789213</t>
  </si>
  <si>
    <r>
      <t xml:space="preserve">* </t>
    </r>
    <r>
      <rPr>
        <sz val="12"/>
        <rFont val="Times New Roman"/>
        <family val="1"/>
      </rPr>
      <t>Thửa 137:</t>
    </r>
  </si>
  <si>
    <t>Nhà cấp IV: Xây dựng năm 1998, do thông tin hộ dân cung cấp
Kết cấu: Móng gạch + bê tông cốt thép, cột gạch + bê tông cốt thép, tường xây gạch có tô + sơn bê, mái tôn trần tôn lạnh, nền gạch men, cửa kéo sếp, có nhà vệ sinh trong nhà</t>
  </si>
  <si>
    <t>* Thửa 136:</t>
  </si>
  <si>
    <t>Nhà cấp IV: Xây dựng năm 1998, do thông tin hộ dân cung cấp
Kết cấu: Móng gạch + bê tông cốt thép, cột gạch + bê tông cốt thép, tường xây gạch có tô + sơn bê, mái tôn trần tôn lạnh, nền gạch Tezzarro, cửa kéo sếp, không có nhà vệ sinh trong nhà</t>
  </si>
  <si>
    <t>Mái che xây dựng năm 2015, do hộ dân thông tin
Kết cấu: Khung sắt tiền chế, mái lợp tôn, không vách nền xi măng + gạch Tezzaro</t>
  </si>
  <si>
    <t>Phạm Thị Thanh Loan</t>
  </si>
  <si>
    <t>Thửa đất hiện trạng số 135
(Trích từ thửa đất số 655, tờ BĐĐC số 43)</t>
  </si>
  <si>
    <t>Số phát hành GCN: CS06930
Số vào sổ: CH088132
Ngày cấp: 03/04/2017</t>
  </si>
  <si>
    <t>CCCD: 072179005400</t>
  </si>
  <si>
    <t>Đ/c: Số 581A, đường Bời Lời, khu phố Ninh Thọ, phường Ninh Sơn, thành phố Tây Ninh, tỉnh Tây Ninh</t>
  </si>
  <si>
    <t xml:space="preserve">Nhà cấp IV: Xây dựng năm 1998, sữa chữa cải tạo 2018, do hộ dân thông tin
Kết cấu: Móng gạch + bê tông cốt thép, cột gạch + bê tông cốt thép, tường xây gạch có tô sơn bê, không trần, mái tôn, nền gạch men, không có nhà vệ sinh bên trong </t>
  </si>
  <si>
    <t xml:space="preserve">Mái che khung sắt tiền chế mái tôn, không vách, nền xi măng </t>
  </si>
  <si>
    <t>Lê Nhật Thanh 
Nguyễn Thị Kim Quyên</t>
  </si>
  <si>
    <t>Thửa đất hiện trạng số 296, 281
(Trích từ thửa đất số 271, tờ BĐĐC số 42)</t>
  </si>
  <si>
    <t>Số phát hành GCN: H03772/NS
Số vào sổ: AL 787422
Ngày cấp: 05/05/2008</t>
  </si>
  <si>
    <t>Đ/c: Số 711, đường Bời Lời, khu phố Ninh An, phường Ninh Sơn, thành phố Tây Ninh, tỉnh Tây Ninh</t>
  </si>
  <si>
    <t>Nhà cấp III: Xây dựng năm 2009, không phép, do hộ dân thông tin
Kết cấu: Móng gạch + đà bê tông cốt thép, cột gạch + đà bê tông cốt thép, tường xây gạch có tô + sơn bê, không đóng trần, nền gạch men, có nhà vệ sinh bên trong, mái lợp tôn, cửa đi kéo xếp</t>
  </si>
  <si>
    <t>Mái che khung sắt tiền chế: Mái tôn, không vách, nền gạch men + xi măng + Tezzarro (xây dựng năm 2009)</t>
  </si>
  <si>
    <t>Nguyễn Văn Chệch</t>
  </si>
  <si>
    <t>Võ Thị Thanh Thúy</t>
  </si>
  <si>
    <t>ĐT: 0783272727</t>
  </si>
  <si>
    <t>CCCD: 079072006666</t>
  </si>
  <si>
    <t>Phan Trần Quốc Việt</t>
  </si>
  <si>
    <t>CCCD: 072089006434</t>
  </si>
  <si>
    <t>Thửa đất hiện trạng số 85
(Trích từ thửa đất số 238, tờ BĐĐC số 36)</t>
  </si>
  <si>
    <t>Số phát hành GCN: CB 223698
Số vào sổ: CS 05652
Ngày cấp: 23/3/2016</t>
  </si>
  <si>
    <t>Đ/c: Số 344, đường Bời Lời, khu phố Ninh An, phường Ninh Sơn, thành phố Tây Ninh, tỉnh Tây Ninh</t>
  </si>
  <si>
    <t>Nhà cấp 4, xây dựng năm 2009, không giấy phép
Kết cấu: Móng gạch + BTCT, cột gạch + BTCT, tường xây gạch tô sơn P, mái lợp tôn, đòn tay gỗ, không đóng trần, nền gạch men, cửa kéo xếp</t>
  </si>
  <si>
    <t>Lê Văn Giúp
Nguyễn Ngọc Thành</t>
  </si>
  <si>
    <t>CCCD: 072068010838</t>
  </si>
  <si>
    <t>Đ/c: Số 330, đường Bời Lời, khu phố Ninh An, phường Ninh Sơn, thành phố Tây Ninh, tỉnh Tây Ninh</t>
  </si>
  <si>
    <t>Thửa đất hiện trạng số 74
(Trích từ thửa đất số 313, tờ BĐĐC số 37)</t>
  </si>
  <si>
    <t>Số phát hành GCN: 
Số vào sổ: 
Ngày cấp: 23/5/2007</t>
  </si>
  <si>
    <t>Mái che Khung sắt tiền chế, mái lợp tôn, không vách, nền xi măng, xây dựng năn 2003, không giấy phép</t>
  </si>
  <si>
    <t>Hàng rào lưới B40 trụ bê tông đúc sẳn</t>
  </si>
  <si>
    <t>DT tính đến nhịp cột 8,0 m2</t>
  </si>
  <si>
    <t>Tường xây gạch ống</t>
  </si>
  <si>
    <t>Oosnh nhựa Bình Minh 27mm</t>
  </si>
  <si>
    <t>Bà Lê Thị Sự và các đồng thừa kế của ông
Nguyễn Ngọc Sơn</t>
  </si>
  <si>
    <t>Đ/c: Số 328, đường Bời Lời, khu phố Ninh An, phường Ninh Sơn, thành phố Tây Ninh, tỉnh Tây Ninh</t>
  </si>
  <si>
    <t>CCCD: 052161000496</t>
  </si>
  <si>
    <t>ĐT: 0362357599</t>
  </si>
  <si>
    <t>Mái che Khung sắt tiền chế, mái lợp tôn, không vách, nền xi măng, xây dựng năn 1997, không giấy phép</t>
  </si>
  <si>
    <t>Hoa mười giờ</t>
  </si>
  <si>
    <t>Thửa đất hiện trạng số 72
(Trích từ thửa đất số 311, tờ BĐĐC số 37)</t>
  </si>
  <si>
    <t>Trần Văn Nhân</t>
  </si>
  <si>
    <t>CCCD: 072068002136</t>
  </si>
  <si>
    <t>ĐC:  324 đường Bời Lời, Khu phố Ninh Trung, phường Ninh Sơn, thành phố Tây Ninh, tỉnh Tây Ninh</t>
  </si>
  <si>
    <t>ĐT: 0968777444</t>
  </si>
  <si>
    <t>Thửa đất hiện trạng số 52
(Trích từ thửa đất số 302, tờ BĐĐC số 2)</t>
  </si>
  <si>
    <t>Số phát hành GCN: H090275
Số vào sổ: 
Ngày cấp: 29/01/1997</t>
  </si>
  <si>
    <t>Mai che khung sắt tiền chế, không vách, nền gạch tezero, mái lợp tôn</t>
  </si>
  <si>
    <t>Tường xây gạch tô quét vôi</t>
  </si>
  <si>
    <t>Hàng rào xây gạch cao 0,4m song sắt cao 1,8m</t>
  </si>
  <si>
    <t>DT tính đến nhịp cột 9,54 m2</t>
  </si>
  <si>
    <t>Nguyễn Thị Diện</t>
  </si>
  <si>
    <t>CCCD: 072161008801</t>
  </si>
  <si>
    <t>ĐC:  332 đường Bời Lời, Khu phố Ninh Trung, phường Ninh Sơn, thành phố Tây Ninh, tỉnh Tây Ninh</t>
  </si>
  <si>
    <t>Số phát hành GCN: 
Số vào sổ: H02857/NS
Ngày cấp: 02/5/2007</t>
  </si>
  <si>
    <t>Thửa đất hiện trạng số 73
(Trích từ thửa đất số 312, tờ BĐĐC số 37)</t>
  </si>
  <si>
    <t>Hàng rào lưới B40 trụ bê tông đúc sẳn, móng cây gạch cao 0,5m</t>
  </si>
  <si>
    <t>DT tính đến nhịp cột 0,1 m3</t>
  </si>
  <si>
    <t>Bà Võ Thị Ba và các đồng thừa kế của ông Lê Văn Hoàng</t>
  </si>
  <si>
    <t>CCCD: 072166000051</t>
  </si>
  <si>
    <t>ĐC:     đường Bời Lời, Khu phố Ninh Trung, phường Ninh Sơn, thành phố Tây Ninh, tỉnh Tây Ninh</t>
  </si>
  <si>
    <t>Mai che khung sắt tiền chế, không vách, nền gạch tezero, mái lợp tôn, xây dựng năm 2011, không giấy phép</t>
  </si>
  <si>
    <t>Nguyễn Hoàng Châu
Nguyễn Thị Mừng</t>
  </si>
  <si>
    <t>CCCD: 072065001803</t>
  </si>
  <si>
    <t>ĐC: 6/12 Khu phố Ninh Thọ, phường Ninh Sơn, thành phố Tây Ninh, tỉnh Tây Ninh</t>
  </si>
  <si>
    <t>ĐT: 0981178452</t>
  </si>
  <si>
    <t>Thửa đất hiện trạng số 28
(Trích từ thửa đất số 101, tờ BĐĐC số 37)</t>
  </si>
  <si>
    <t>Số phát hành GCN: AO466093
Số vào sổ: 
Ngày cấp: 21/01/2009</t>
  </si>
  <si>
    <t>Nhà cấp 4, xây dựng năm 2009, không giấy phép
Kết cấu: Móng gạch + BTCT, cột gạch + BTCT, tường xây gạch có tô quét vôi, mái tôn, trần tôn lạnh, nền gạch men, cửa sắt kéo, hệ thống vệ sinh bên trong</t>
  </si>
  <si>
    <t>Nguyễn Thành Út</t>
  </si>
  <si>
    <t>CCCD: 072073011050</t>
  </si>
  <si>
    <t>ĐC: 527 đường Bời Lời, Khu phố Ninh Thọ, phường Ninh Sơn, thành phố Tây Ninh, tỉnh Tây Ninh</t>
  </si>
  <si>
    <t>Thửa đất hiện trạng số 47
(Trích từ thửa đất số 858, tờ BĐĐC số 05)</t>
  </si>
  <si>
    <t>Số phát hành GCN: T996102
Số vào sổ: 
Ngày cấp: 24/8/2001</t>
  </si>
  <si>
    <t>Mái che khung sắt tiền chế, mái lợp tôn, không vách, nền gạch men, xây dựng năm 2003, không giấy phép</t>
  </si>
  <si>
    <t>Phạm Văn Mến</t>
  </si>
  <si>
    <t>CCCD: 072074003751</t>
  </si>
  <si>
    <t>Xây dựng trên đất của bà Trần Thị Bảy</t>
  </si>
  <si>
    <t>ĐC: 567 đường Bời Lời, Khu phố Ninh Thọ, phường Ninh Sơn, thành phố Tây Ninh, tỉnh Tây Ninh</t>
  </si>
  <si>
    <t>Mái che khung sắt tiền chế, mái lợp tôn, không vách, nền gạch men, xây dựng năm 01/2004, không giấy phép</t>
  </si>
  <si>
    <t>Mái che khung sắt tiền chế, mái bạt + tôn lấy sáng, không vách, nền gạch men, xây dựng năm 01/2004, không giấy phép</t>
  </si>
  <si>
    <t>Nhà cấp 4, xây dựng 01/2004, không giấy phép
Kết cấu: Móng gạch + BTCT, cột gạch + BTCT, tường xây gạch tô sơn P, mái tôn, trần tôn lạnh, nền gạch men, cửa kép xếp, hệ thống vệ sinh bên trong</t>
  </si>
  <si>
    <t>Lưu Hoài Vinh</t>
  </si>
  <si>
    <t>CCCD: 072087002138</t>
  </si>
  <si>
    <t>ĐC: 597 đường Bời Lời, Khu phố Ninh Thọ, phường Ninh Sơn, thành phố Tây Ninh, tỉnh Tây Ninh</t>
  </si>
  <si>
    <t>ĐT: 0943804438</t>
  </si>
  <si>
    <t>Thửa đất hiện trạng số 156,157
(Trích từ thửa đất số 790,797, tờ BĐĐC số 43)</t>
  </si>
  <si>
    <t>Số phát hành GCN: DQ565321, DQ565320
Số vào sổ: 
Ngày cấp: 23/10/2024</t>
  </si>
  <si>
    <t>Mái che khung sắt tiền chế, mái lợp tôn, không vách, nền gạch men, xây dựng năm 2021, không giấy phép</t>
  </si>
  <si>
    <t>CCCD: 072161002270</t>
  </si>
  <si>
    <t>ĐC: 529 đường Bời Lời, Khu phố Ninh Thọ, phường Ninh Sơn, thành phố Tây Ninh, tỉnh Tây Ninh</t>
  </si>
  <si>
    <t>Thửa đất hiện trạng số 46
(Trích từ thửa đất số 142, tờ BĐĐC số 37)</t>
  </si>
  <si>
    <t>Số phát hành GCN: DA700871
Số vào sổ: 
Ngày cấp: 14/4/2021</t>
  </si>
  <si>
    <t>Nguyễn Văn Êm</t>
  </si>
  <si>
    <t>CCCD: 080054006287</t>
  </si>
  <si>
    <t>ĐC: 555 đường Bời Lời, Khu phố Ninh Thọ, phường Ninh Sơn, thành phố Tây Ninh, tỉnh Tây Ninh</t>
  </si>
  <si>
    <t>ĐT: 0984244165</t>
  </si>
  <si>
    <t>Số phát hành GCN: DO 667429
Số vào sổ: 
Ngày cấp: 25/7/1995</t>
  </si>
  <si>
    <t>Thửa đất hiện trạng số 92
(Trích từ thửa đất số 402,403,404,405, tờ BĐĐC số 37)</t>
  </si>
  <si>
    <t>Nhà cấp 4, xây dựng năm 2000, không giấy phép
Kết cấu: Móng gạch + BTCT, cột gạch + BTCT, tường xây gạch tô sơn P, mái tôn, trần tôn lạnh, nền gạch men, cửa kéo xếp + cửa kính, hệ thống vệ sinh bên trong</t>
  </si>
  <si>
    <t>Mái che khung săt tiền chế, mái tôn, không vách, nền xi măng + gạch tàu</t>
  </si>
  <si>
    <t>Nhà cấp 4, xây dựng năm 1998, không giấy phép
Kết cấu: Móng gạch + BTCT, cột gạch + BTCT, tường xây gạch tô sơn P, mái tôn, trần tôn lạnh, nền gạch men, cửa kính, hệ thống vệ sinh bên trong</t>
  </si>
  <si>
    <t>Lê Như Sâm</t>
  </si>
  <si>
    <t>CCCD: 052063000397</t>
  </si>
  <si>
    <t>ĐC: 543 đường Bời Lời, Khu phố Ninh Thọ, phường Ninh Sơn, thành phố Tây Ninh, tỉnh Tây Ninh</t>
  </si>
  <si>
    <t>ĐT: 0977747542</t>
  </si>
  <si>
    <t>Số phát hành GCN: T906275
Số vào sổ: 
Ngày cấp: 17/9/2001</t>
  </si>
  <si>
    <t>Thửa đất hiện trạng số 79
(Trích từ thửa đất số 847, tờ BĐĐC số 5)</t>
  </si>
  <si>
    <t>Mái che khung gỗ, mái tôn, không vách, nền xi măng + gạch tàu</t>
  </si>
  <si>
    <t>Hàng rào khung sắt không xây chân</t>
  </si>
  <si>
    <t>Phạm Thị Thúy Oanh</t>
  </si>
  <si>
    <t>ĐC: 565 đường Bời Lời, Khu phố Ninh Thọ, phường Ninh Sơn, thành phố Tây Ninh, tỉnh Tây Ninh</t>
  </si>
  <si>
    <t>Nhà cấp 4, xây dựng 2012, không giấy phép
Kết cấu: Móng gạch + BTCT, cột gạch + BTCT, tường xây gạch tô sơn P, mái tôn, trần tôn lạnh, nền gạch men, cửa kép xếp + kính cường lực, hệ thống vệ sinh bên trong</t>
  </si>
  <si>
    <t>Phan Thị Xuân Lý</t>
  </si>
  <si>
    <t>CCCD: 072184000652</t>
  </si>
  <si>
    <t>ĐT: 0965678324</t>
  </si>
  <si>
    <t>ĐC: 27 Thuận Kiều, Quận 5, TPHCM</t>
  </si>
  <si>
    <t>Thửa đất hiện trạng số 109
(Trích từ thửa đất số 248, tờ BĐĐC số 37)</t>
  </si>
  <si>
    <t>Số phát hành GCN: DM 537201
Số vào sổ: 
Ngày cấp: 01/11/2023</t>
  </si>
  <si>
    <t xml:space="preserve">Mái che khung sắt tiền chế, cột bê tông xi măng, kèo gỗ, mái tôn, không vách, nền xi măng </t>
  </si>
  <si>
    <t>Phạm Văn Hải</t>
  </si>
  <si>
    <t>CCCD: 072071003665</t>
  </si>
  <si>
    <t>ĐC: 569 đường Bời Lời, Khu phố Ninh Thọ, phường Ninh Sơn, thành phố Tây Ninh, tỉnh Tây Ninh</t>
  </si>
  <si>
    <t>Nhà cấp 4, xây dựng 2001, không giấy phép
Kết cấu: Móng gạch + BTCT, cột gạch + BTCT, tường xây gạch tô sơn P, mái tôn, trần tôn lạnh, nền gạch men, cửa kép xếp + sắt kính, hệ thống vệ sinh bên trong</t>
  </si>
  <si>
    <t>Lê Văn Đỡ
Phan Thị Ngọc Hà</t>
  </si>
  <si>
    <t>CCCD: 072070012179</t>
  </si>
  <si>
    <t>ĐC: 336 đường Bời Lời, Khu phố Ninh Thọ, phường Ninh Sơn, thành phố Tây Ninh, tỉnh Tây Ninh</t>
  </si>
  <si>
    <t>Thửa đất hiện trạng số 70
(Trích từ thửa đất số 140, tờ BĐĐC số 37)</t>
  </si>
  <si>
    <t>Số phát hành GCN: CD311776
Số vào sổ: 
Ngày cấp: 26/11/2018</t>
  </si>
  <si>
    <t xml:space="preserve">Mái che khung sắt tiền chế, mái tôn, không vách, nền xi măng, xây dựng năm 2000 </t>
  </si>
  <si>
    <t xml:space="preserve">Mái che khung sắt tiền chế, mái tôn, vách tôn + lưới B40, nền xi măng, xây dựng năm 2000 </t>
  </si>
  <si>
    <t>Phạm Văn Bạo và các đồng thừa kế của bà Trần Thị Bảy</t>
  </si>
  <si>
    <t>CCCD: 072048000298</t>
  </si>
  <si>
    <t>Thửa đất hiện trạng số 105
(Trích từ thửa đất số 142, tờ BĐĐC số 5)</t>
  </si>
  <si>
    <t>Số phát hành GCN: DO866921
Số vào sổ: 
Ngày cấp: 25/7/1995</t>
  </si>
  <si>
    <t>Nhà cấp 4, xây dựng năm 2001, không giấy phép
Kết cấu: Móng gạch + BTCT, cột gạch + BTCT, tường xây gạch tô sơn P, mái tôn, trần tôn lạnh, nền gạch men, cửa sắt kính, hệ thống vệ sinh bên trong</t>
  </si>
  <si>
    <t>Mái che khung sắt tiền chế, mái tôn, 01 vách tôn, nền gạch men, xây dựng năm 2001 (tương đương nhà tạm)</t>
  </si>
  <si>
    <t>Giếng khoan sâu 28m</t>
  </si>
  <si>
    <t>Phan Công Tú
Nguyễn Thị Chương</t>
  </si>
  <si>
    <t>CCCD: 052036000005</t>
  </si>
  <si>
    <t>ĐC: 274 đường Bời Lời, Khu phố Ninh Thọ, phường Ninh Sơn, thành phố Tây Ninh, tỉnh Tây Ninh</t>
  </si>
  <si>
    <t>ĐT: 0369810935</t>
  </si>
  <si>
    <t>Thửa đất hiện trạng số 10
(Trích từ thửa đất số 85, tờ BĐĐC số 37)</t>
  </si>
  <si>
    <t>Số phát hành GCN: DQ937853
Số vào sổ: 
Ngày cấp: 23/12/2024</t>
  </si>
  <si>
    <t>Lưu Huỳnh Châu
Lê Trần Cẩm Tuyến</t>
  </si>
  <si>
    <t>CCCD: 072076005413</t>
  </si>
  <si>
    <t>ĐC: 605 đường Bời Lời, Khu phố Ninh Thọ, phường Ninh Sơn, thành phố Tây Ninh, tỉnh Tây Ninh</t>
  </si>
  <si>
    <t>ĐT: 0792559357,
0976131901</t>
  </si>
  <si>
    <t>Thửa đất hiện trạng số 179
(Trích từ thửa đất số 33, tờ BĐĐC số 43)</t>
  </si>
  <si>
    <t>Số phát hành GCN: AL991060
Số vào sổ: 
Ngày cấp: 28/01/2008</t>
  </si>
  <si>
    <t>Mái che khung sắt tiền chế, mái lợp tôn, có vách, nền xi măng, xây dựng năm 2001, không giấy phép</t>
  </si>
  <si>
    <t>Lưu Huỳnh Phong
Thiều Thị Hạnh</t>
  </si>
  <si>
    <t>ĐT: 0373839179</t>
  </si>
  <si>
    <t>Số phát hành GCN: CV688751
Số vào sổ: 
Ngày cấp: 17/6/2020</t>
  </si>
  <si>
    <t>Thửa đất hiện trạng số 158
(Trích từ thửa đất số 798, tờ BĐĐC số 43)</t>
  </si>
  <si>
    <t>Nhà cấp 4, xây dựng năm 2001, không giấy phép
Kết cấu: Móng gạch + BTCT, cột gạch +BTCT, tường xây gạch tô sơn P, mái tôn, trần tôn lạnh, nền gạch men, cửa sắt</t>
  </si>
  <si>
    <t>Cây nguyệt quế đường kính 01cm cao 0,8m</t>
  </si>
  <si>
    <t>Cây bông trang cao 0,5m</t>
  </si>
  <si>
    <t>Lê Thanh Tuấn</t>
  </si>
  <si>
    <t>ĐC:    đường Bời Lời, Khu phố Ninh Thọ, phường Ninh Sơn, thành phố Tây Ninh, tỉnh Tây Ninh</t>
  </si>
  <si>
    <t>ĐT: 0918393009</t>
  </si>
  <si>
    <t>Thửa đất hiện trạng số 21
(Trích từ thửa đất số 973, tờ BĐĐC số 5)</t>
  </si>
  <si>
    <t>Số phát hành GCN: Y280423
Số vào sổ: 
Ngày cấp: 31/10/2003</t>
  </si>
  <si>
    <t>Trương Thị Bé</t>
  </si>
  <si>
    <t>ĐC:   595 đường Bời Lời, Khu phố Ninh Thọ, phường Ninh Sơn, thành phố Tây Ninh, tỉnh Tây Ninh</t>
  </si>
  <si>
    <t>Thửa đất hiện trạng số 6
(Trích từ thửa đất số 256, tờ BĐĐC số 37)</t>
  </si>
  <si>
    <t>Số phát hành GCN: DA015872
Số vào sổ: 
Ngày cấp: 30/12/2020</t>
  </si>
  <si>
    <t>Phạm Thị Yến Anh</t>
  </si>
  <si>
    <t>CCCD: 072187007740</t>
  </si>
  <si>
    <t>ĐC: 280 đường Bời Lời, Khu phố Ninh Trung, phường Ninh Sơn, thành phố Tây Ninh, tỉnh Tây Ninh</t>
  </si>
  <si>
    <t>ĐT: 0966227928</t>
  </si>
  <si>
    <t>Số phát hành GCN: DL861693
Số vào sổ: 
Ngày cấp: 17/8/2023</t>
  </si>
  <si>
    <t>Thửa đất hiện trạng số 5
(Trích từ thửa đất số 699, tờ BĐĐC số 37)</t>
  </si>
  <si>
    <t>Lê Văn Nên</t>
  </si>
  <si>
    <t>CCCD: 072072001786</t>
  </si>
  <si>
    <t>ĐC: 312 đường Bời Lời, Khu phố Ninh Trung, phường Ninh Sơn, thành phố Tây Ninh, tỉnh Tây Ninh</t>
  </si>
  <si>
    <t>ĐT: 0392765929</t>
  </si>
  <si>
    <t>Thửa đất hiện trạng số 42
(Trích từ thửa đất số 298, tờ BĐĐC số 2)</t>
  </si>
  <si>
    <t>Số phát hành GCN: DO 615390
Số vào sổ: 
Ngày cấp: 12/8/1995</t>
  </si>
  <si>
    <t>Nhà cấp 4, xây dựng năm 2000, không giấy phép
Kết cấu: Móng, cột BTCT, mái tôn, trần tôn lạnh nền gạch men, hệ thống vệ sinh bên trong (ảnh hưởng 02 cột nhà, sê nô)</t>
  </si>
  <si>
    <t>Hàng rào lưới B40 trụ bê tông không xây chân</t>
  </si>
  <si>
    <t>DT tính đến nhịp cột 4,94m2</t>
  </si>
  <si>
    <t>Mái che khung sắt + gỗ, không vách, mái tôn, nền xi măng</t>
  </si>
  <si>
    <t>Cây mai vàng đường kính 8cm cao trên 2m</t>
  </si>
  <si>
    <t>Cây bông giấy đường kính 10cm cao trên 2m</t>
  </si>
  <si>
    <t>Chậu kiểng nhựa đường kính 40cm</t>
  </si>
  <si>
    <t>Chậu kiểng nhựa đường kính 30cm</t>
  </si>
  <si>
    <t>Nguyễn Trọng Nghĩa
Huỳnh Thị Liễu</t>
  </si>
  <si>
    <t>CCCD: 072066001540</t>
  </si>
  <si>
    <t>ĐC: 517 đường Bời Lời, Khu phố Ninh Thọ, phường Ninh Sơn, thành phố Tây Ninh, tỉnh Tây Ninh</t>
  </si>
  <si>
    <t>Số phát hành GCN: DD352870
Số vào sổ: 
Ngày cấp: 13/12/2021</t>
  </si>
  <si>
    <t>Thửa đất hiện trạng số 35,36
(Trích từ thửa đất số 659, tờ BĐĐC số 37)</t>
  </si>
  <si>
    <t>Nhà cấp 4, xây dựng năm 2000, không giấy phép
Kết cấu: Móng, cột gạch + BTCT, tường xây gạch tô sơn P, mái tôn, trần tôn lạnh, nền gạch tàu, cửa sắt cuốn</t>
  </si>
  <si>
    <t>Nhà tạm, xây dựng năm 2000, Kết cấu: Khung sắt tiền chế, mái tôn, vách 01 bên, cột tường xây gạch tô quét vôi, nền xi măng</t>
  </si>
  <si>
    <t>Mái che khung sắt tiền chế, có vách, mái tôn, nền xi măng (xây dựng năm 2000)</t>
  </si>
  <si>
    <t>Lê Văn Mộng</t>
  </si>
  <si>
    <t>CCCD: 072076004590</t>
  </si>
  <si>
    <t>ĐC: 501 đường Bời Lời, Khu phố Ninh Thọ, phường Ninh Sơn, thành phố Tây Ninh, tỉnh Tây Ninh</t>
  </si>
  <si>
    <t>ĐT: 0353805957</t>
  </si>
  <si>
    <t>Số phát hành GCN: 
Số vào sổ: 01348
Ngày cấp: 10/8/2004</t>
  </si>
  <si>
    <t>Thửa đất hiện trạng số 372
(Trích từ thửa đất số 34, tờ BĐĐC số 5)</t>
  </si>
  <si>
    <t>Nhà tạm, xây dựng tháng 02/2004, Kết cấu: Cột bê tông đúc sẳn, tường xây gạch tô 01 bên, mái tôn, nền gạch tàu</t>
  </si>
  <si>
    <t>Mái che khung, kèo sắt, không vách, mái tôn, nền gạch tàu (xây dựng tháng 02/2004)</t>
  </si>
  <si>
    <t>Hàng rào song sắt móng xây gạch cao 0,5m</t>
  </si>
  <si>
    <t>Hàng rào khung sắt lưới B40, móng xây gạch cao 0,5m</t>
  </si>
  <si>
    <t>Cây xoài 10 năm</t>
  </si>
  <si>
    <t>Trần Thị Màng</t>
  </si>
  <si>
    <t>CCCD: 290706847</t>
  </si>
  <si>
    <t>ĐC: Khu phố Ninh Tân, phường Ninh Sơn, thành phố Tây Ninh, tỉnh Tây Ninh</t>
  </si>
  <si>
    <t>ĐT: 0985197273</t>
  </si>
  <si>
    <t>Thửa đất hiện trạng số 68
(Trích từ thửa đất số 262, tờ BĐĐC số 37)</t>
  </si>
  <si>
    <t>Số phát hành GCN: BP 451147
Số vào sổ: 
Ngày cấp: 17/02/2014</t>
  </si>
  <si>
    <t>Mái che khung sắt tiền chế, không vách, mái tôn, nền xi măng (xây dựng 2022)</t>
  </si>
  <si>
    <t>Hàng rào khung sắt lưới B40, móng xây gạch cao 0,4m</t>
  </si>
  <si>
    <t>Phạm Đình Thuận</t>
  </si>
  <si>
    <t>CCCD: 072075009675</t>
  </si>
  <si>
    <t>ĐT: 0917216282</t>
  </si>
  <si>
    <t>ĐC: 561 đường Bời Lời, Khu phố Ninh Thọ, phường Ninh Sơn, thành phố Tây Ninh, tỉnh Tây Ninh</t>
  </si>
  <si>
    <t>Số phát hành GCN: N392409
Số vào sổ: 
Ngày cấp: 26/4/1999</t>
  </si>
  <si>
    <t>Thửa đất hiện trạng số 107
(Trích từ thửa đất số 816, tờ BĐĐC số 5)</t>
  </si>
  <si>
    <t>Mái che khung sắt tiền chế, không vách, mái tôn, nền gạch men (xây dựng năm 2010)</t>
  </si>
  <si>
    <t>Quách Bích Huyền</t>
  </si>
  <si>
    <t>CCCD: 072183012754</t>
  </si>
  <si>
    <t>ĐC: 460 đường CMT8, Khu phố 3, Phường 3, thành phố Tây Ninh, tỉnh Tây Ninh</t>
  </si>
  <si>
    <t>ĐT: 0978778789</t>
  </si>
  <si>
    <t>Thửa đất hiện trạng số 270,271
(Trích từ thửa đất số 398, 518 tờ BĐĐC số 42)</t>
  </si>
  <si>
    <t>Số phát hành GCN: DQ542859, DQ 937535
Số vào sổ: 
Ngày cấp: 08/10/2024, 04/12/2024</t>
  </si>
  <si>
    <t>Nhà cấp 3 (xây dựng năm 1998), không giấy phép
Kết cấu: Móng cột khung đà BTCT, tường xây gạch tô sơn P, sàn BTCT, mái BTCT, nền gạch men, cửa sắt kính</t>
  </si>
  <si>
    <t>Di dời vách tôn</t>
  </si>
  <si>
    <t>Di dời cửa kéo xếp</t>
  </si>
  <si>
    <t>Đóng trần tấm nhựa thả</t>
  </si>
  <si>
    <t>Quách Hải Ngọc</t>
  </si>
  <si>
    <t>CCCD: 051058008740</t>
  </si>
  <si>
    <t>nhà 03 tầng (tiệm vàng Ngọc Phượng)</t>
  </si>
  <si>
    <t>Nhà cấp 3 (xây dựng năm 1998), không giấy phép
Kết cấu: Móng, cột, khung, đà, sàn BTCT, tường xây gạch tô sơn P, sàn BTCT, mái tầng trên cùng lợp tôn, nền gạch men, cửa sắt kính, hệ thống vệ sinh bên trong</t>
  </si>
  <si>
    <t>Diện tích nhà tầng trệt</t>
  </si>
  <si>
    <t>Diện tích nhà tầng 2</t>
  </si>
  <si>
    <t>Diện tích nhà tầng 3</t>
  </si>
  <si>
    <t>Giếng khoan sâu 30m</t>
  </si>
  <si>
    <t>Huỳnh Tấn Phát</t>
  </si>
  <si>
    <t>CCCD: 072077004330</t>
  </si>
  <si>
    <t>ĐC: 322 đường Bời Lời, Khu phố Ninh Trung, phường Ninh Sơn, thành phố Tây Ninh, tỉnh Tây Ninh</t>
  </si>
  <si>
    <t>ĐT: 0984272807</t>
  </si>
  <si>
    <t>Số phát hành GCN: CH 151002
Số vào sổ: 
Ngày cấp: 08/6/2017</t>
  </si>
  <si>
    <t>Nhà cấp 4, xây dựng năm 2005, không giấy phép
Kết cấu: Móng gạch + BTCT, tường gạch, cột gạch xây tô, không đóng trần, nền xi măng, nhà 01 vách, cửa sắt</t>
  </si>
  <si>
    <t>Ống nhựa Bình Minh 27mm</t>
  </si>
  <si>
    <t>Giếng thấm đặt 04 cống cao 0,5m mỗi cống, có nấp đậy</t>
  </si>
  <si>
    <t>Nguyễn Thị Mai</t>
  </si>
  <si>
    <t>CCCD: 052156004953</t>
  </si>
  <si>
    <t>Số phát hành GCN: DL987953
Số vào sổ: 
Ngày cấp: 04/7/2023</t>
  </si>
  <si>
    <t>Thửa đất hiện trạng số 16
(Trích từ thửa đất số 79 tờ BĐĐC số 37)</t>
  </si>
  <si>
    <t xml:space="preserve">Tô trụ </t>
  </si>
  <si>
    <t>Hàng rào xây gạch</t>
  </si>
  <si>
    <t>DT tính hết nhịp 5,88m2</t>
  </si>
  <si>
    <t>ĐC: 511 đường Bời Lời, Khu phố Ninh Thọ, phường Ninh Sơn, thành phố Tây Ninh, tỉnh Tây Ninh</t>
  </si>
  <si>
    <t>ĐT: 0964612895</t>
  </si>
  <si>
    <t>Số phát hành GCN: DN609302
Số vào sổ: 
Ngày cấp: 18/6/2013</t>
  </si>
  <si>
    <t>Thửa đất hiện trạng số 40
(Trích từ thửa đất số 406 tờ BĐĐC số 37)</t>
  </si>
  <si>
    <t>Nhà cấp 4, xây dựng năm 1999, không giấy phép
Kết cấu: Móng cột BTCT, tường xây gạch tô sơn P, ốp tường gạch men (quy cách 250x400) cao 1,2m, mái tôn, trần tôn lạnh, cửa sắt kính, nền gạch tàu</t>
  </si>
  <si>
    <t>Mái che khung sắt tiền chế, mái tôn, nền xi măng, xây dựng năm 1999</t>
  </si>
  <si>
    <t>Nguyễn Chí Tình
Nguyễn Thị Minh Phượng</t>
  </si>
  <si>
    <t>Thửa đất hiện trạng số 113
(Trích từ thửa đất số 301 tờ BĐĐC số 36)</t>
  </si>
  <si>
    <t>Số phát hành GCN: CR 190414
Số vào sổ: 
Ngày cấp: 04/5/2019</t>
  </si>
  <si>
    <t>Nhà cấp 4, xây dựng năm 2020, được cấp giấy phép xây dựng số 89/GPXD ngày 13/7/2020, nhà xây dựng không đúng vị trí theo giấy phép được cấp
Kết cấu: Móng cột gạch + BTCT, tường xây gạch tô sơn P, trần tôn lạnh, nền gạch men, cửa kép xếp, hệ thống vệ sinh bên trong</t>
  </si>
  <si>
    <t>Mái che khung sắt tiền chế, có 01 vách, mái tôn, nền xi măng, xây dựng năm 2020</t>
  </si>
  <si>
    <t>Phan Công Tài</t>
  </si>
  <si>
    <t>CCCD: 072089005586</t>
  </si>
  <si>
    <t>ĐC: 354B đường Bời Lời, Khu phố Ninh Trung, phường Ninh Sơn, thành phố Tây Ninh, tỉnh Tây Ninh</t>
  </si>
  <si>
    <t>ĐT: 0979546506</t>
  </si>
  <si>
    <t>Mái che khung sắt tiền chế, mái tôn, không vách, nền gạch tezero</t>
  </si>
  <si>
    <t>Hàng rào song săt cao 1,8m tường xây gạch cao 0,6m, móng gạch + BTCT, trụ xây gạch có tô</t>
  </si>
  <si>
    <t xml:space="preserve">Số phát hành GCN:  
Số vào sổ: 
Ngày cấp: </t>
  </si>
  <si>
    <t>Mái che khung sắt tiền chế , mái lợp tôn, không vách, nền xi măng (cây dựng năm …..)</t>
  </si>
  <si>
    <t>Lê Văn Chơn</t>
  </si>
  <si>
    <t>Thửa đất hiện trạng số 24
(Trích từ thửa đất số 296, tờ BĐĐC số 2)</t>
  </si>
  <si>
    <t>Số phát hành GCN: X 206910
Số vào sổ: 00883
Ngày cấp: 15/9/2003</t>
  </si>
  <si>
    <t>Năm sinh: 1969</t>
  </si>
  <si>
    <t>CCCD: 080069000033</t>
  </si>
  <si>
    <t>Đc: Số 306 đường Bời Lời, khu phố Ninh Trung, phường Ninh Sơn, thành phố Tây Ninh, tỉnh Tây Ninh</t>
  </si>
  <si>
    <t>Mái che khung sắt tiền chế, mái tôn, không vách, nền xi măng</t>
  </si>
  <si>
    <t>Chậu kiểng đường kính 50cm</t>
  </si>
  <si>
    <t>Trần Quốc Tuấn</t>
  </si>
  <si>
    <t>Số phát hành GCN: DP 749750
Số vào sổ: VP20114
Ngày cấp: 19/6/2024</t>
  </si>
  <si>
    <t>Năm sinh: 1960</t>
  </si>
  <si>
    <t xml:space="preserve">Hộ dân đề nghị bồi thường đất ở </t>
  </si>
  <si>
    <t>CCCD: 052060000002</t>
  </si>
  <si>
    <t>Trương Thị Sáu</t>
  </si>
  <si>
    <t>Mái che khung sắt tiền chế, mái tôn, 01 vách tôn, nền bê tông + gạch Terrazzo (Xây dựng năm 1999)</t>
  </si>
  <si>
    <t>Di dời khung sắt hàng rào</t>
  </si>
  <si>
    <t>Đc: Số 278 đường Bời Lời, khu phố Ninh Trung, phường Ninh Sơn, thành phố Tây Ninh, tỉnh Tây Ninh</t>
  </si>
  <si>
    <t>Lê Hữu Phước</t>
  </si>
  <si>
    <t>Năm sinh: 1959</t>
  </si>
  <si>
    <t>Số phát hành GCN: BK 524913
Số vào sổ: 
Ngày cấp: 13/6/2012</t>
  </si>
  <si>
    <t>CCCD: 072059001758</t>
  </si>
  <si>
    <t>Hộ dân đề nghị thu hồi đất ở</t>
  </si>
  <si>
    <t>Trần Thị Tuyết Nhung</t>
  </si>
  <si>
    <t>Số phát hành GCN: CT 275829
Số vào sổ: CS11779
Ngày cấp: 16/12/2019</t>
  </si>
  <si>
    <t>CCCD: 072159002378</t>
  </si>
  <si>
    <t>Nền gạch Terrazzo</t>
  </si>
  <si>
    <t>SĐT: 0913955200</t>
  </si>
  <si>
    <t>Hàng rào song sắt  cao trung bình 2m, tường xây gạch, móng xây gạch</t>
  </si>
  <si>
    <t>Trụ cổng BTCT</t>
  </si>
  <si>
    <t>Cỏ nhung</t>
  </si>
  <si>
    <t>Cây hoa lài cao trên 1m, đường kính 2cm</t>
  </si>
  <si>
    <t>Cây nguyệt quế cao dưới 1m</t>
  </si>
  <si>
    <t>Cây hoa dâm bụt cao trên 1m</t>
  </si>
  <si>
    <t>Cây phát tài cao trên 1m</t>
  </si>
  <si>
    <t>Cây trúc kiểng</t>
  </si>
  <si>
    <t>Cây đinh lăng 3 năm</t>
  </si>
  <si>
    <t>Cây chuông vàng đường kính 15cm</t>
  </si>
  <si>
    <t>Cây nguyệt quế cao trên 1m</t>
  </si>
  <si>
    <t>Lê Thanh Phong</t>
  </si>
  <si>
    <t>Số phát hành GCN: AC 949350
Số vào sổ: 
Ngày cấp: 22/3/2005</t>
  </si>
  <si>
    <t>Năm sinh: 1971</t>
  </si>
  <si>
    <t>CCCD: 072071003158</t>
  </si>
  <si>
    <t>Trịnh Thị Mỹ Dung</t>
  </si>
  <si>
    <t>Nhà cấp 4 (xây dựng năm 2005)
Kết cấu: Móng gạch + BTCT, cột gạch + BTCT, tường xây gạch có tô, sơn P, mái lợp tôn, trần tấm nhựa thả, cửa kéo xếp + sắt kính, nền gạch men, có nhà vệ sinh trong nhà</t>
  </si>
  <si>
    <t>Mái che khung sắt tiền chế: Mái tôn, không vách, nền gạch</t>
  </si>
  <si>
    <t>SĐT: 0909449252</t>
  </si>
  <si>
    <t>Cây vú sữa 7 năm</t>
  </si>
  <si>
    <t>Phạm Thị Mỹ Duyên</t>
  </si>
  <si>
    <t>Số phát hành GCN: DL 987955
Số vào sổ: VP18563
Ngày cấp: 25/7/2023</t>
  </si>
  <si>
    <t>Năm sinh: 1993</t>
  </si>
  <si>
    <t>CCCD: 07193003237</t>
  </si>
  <si>
    <t>Đc: khu phố Ninh Trung, phường Ninh Sơn, thành phố Tây Ninh, tỉnh Tây Ninh</t>
  </si>
  <si>
    <t>Hàng rào xây gạch cao 2,5m, có tô, móng xây gạch + trụ BTCT</t>
  </si>
  <si>
    <t>Hàng rào song sắt móng xây gạch 0,5m</t>
  </si>
  <si>
    <t>Tô trụ</t>
  </si>
  <si>
    <t>Cổng rào song sắt</t>
  </si>
  <si>
    <t>Nền lát gạch đá</t>
  </si>
  <si>
    <t>Ống nhựa Bình Minh đường kính 27mm</t>
  </si>
  <si>
    <t>Cây mai đường kính 15cm, cao trên 2m</t>
  </si>
  <si>
    <t>Phan Thị Thùy Trang</t>
  </si>
  <si>
    <t>2 thửa</t>
  </si>
  <si>
    <t xml:space="preserve">Năm sinh: </t>
  </si>
  <si>
    <t>Đc: Khu phố Ninh Trung, phường Ninh Sơn, thành phố Tây Ninh, tỉnh Tây Ninh</t>
  </si>
  <si>
    <t>SĐT: 0386844699</t>
  </si>
  <si>
    <t>Mái che khung sắt tiền chế, mái tôn, không vách, nền xi măng (xây dựng năm 2002)</t>
  </si>
  <si>
    <t>Cây cau kiểng đường kính 20cm cao 2m</t>
  </si>
  <si>
    <t>Tăng Văn Tấn Phước</t>
  </si>
  <si>
    <t>Số phát hành GCN: CY 690437
Số vào sổ: CS13166
Ngày cấp: 05/10/2020</t>
  </si>
  <si>
    <t>Năm sinh: 1988</t>
  </si>
  <si>
    <t>CCCD: 072088003283</t>
  </si>
  <si>
    <t>Đc: khu phố Ninh Thọ, phường Ninh Sơn, thành phố Tây Ninh, tỉnh Tây Ninh</t>
  </si>
  <si>
    <t>SĐT: 0962071571</t>
  </si>
  <si>
    <t>Nhà cấp 4 (xây dựng năm 2021, không phép, không bị xử phạt)
Kết cấu: Móng gạch + BTCT, cột gạch + BTCT, tường xây gạch có tô, sơn P, mái lợp tôn, trần tôn lạnh, nền gạch men, cửa sắt cuốn + cửa kính</t>
  </si>
  <si>
    <t>Phan Công Dự</t>
  </si>
  <si>
    <t>Số phát hành GCN: DQ 937532
Số vào sổ: CN21067
Ngày cấp: 05/12/2024</t>
  </si>
  <si>
    <t>CCCD: 072070013264</t>
  </si>
  <si>
    <t>Đc: Số 350B đường Bời Lời, khu phố Ninh Trung, phường Ninh Sơn, thành phố Tây Ninh, tỉnh Tây Ninh</t>
  </si>
  <si>
    <t>SĐT: 0978244147</t>
  </si>
  <si>
    <t>Mái che khung gỗ + sắt, mái tôn, không vách, nền xi măng (xây dựng năm 2010, không phép, không bị xử phạt VPHC)</t>
  </si>
  <si>
    <t>Ống nhựa Bình Minh đường kính 90mm</t>
  </si>
  <si>
    <t>Phan Thị Tám</t>
  </si>
  <si>
    <t>Số phát hành GCN: 150286
Số vào sổ: CH04319
Ngày cấp: 03/02/2015</t>
  </si>
  <si>
    <t>Năm sinh: 1976</t>
  </si>
  <si>
    <t>Hộ dân đề nghị thu hồi đất trồng cây lâu năm</t>
  </si>
  <si>
    <t>CCCD: 072176003675</t>
  </si>
  <si>
    <t>Đc: Số 15 đường Bời Lời, khu phố Ninh Thọ, phường Ninh Sơn, thành phố Tây Ninh, tỉnh Tây Ninh</t>
  </si>
  <si>
    <t>SĐT: 0937019079</t>
  </si>
  <si>
    <t>Mái che khung gỗ + khung sắt tiền chế, mái tôn, không vách, nền gạch Terrazzo + xi măng (xây dựng năm 2010)</t>
  </si>
  <si>
    <t>CCCD: 072061001973</t>
  </si>
  <si>
    <t>Đc: Số 340 đường Bời Lời, khu phố Ninh Thọ, phường Ninh Sơn, thành phố Tây Ninh, tỉnh Tây Ninh</t>
  </si>
  <si>
    <t>SĐT: 0981026752</t>
  </si>
  <si>
    <t>Nguyễn Hiền
Trần Thị Bốn</t>
  </si>
  <si>
    <t>Số phát hành GCN: BB847443,CB211405
Số vào sổ: 
Ngày cấp:28/7/2010,12/11/2015</t>
  </si>
  <si>
    <t>Nguyễn Hoàng Triều
Nguyễn Thị Thảo</t>
  </si>
  <si>
    <t>Đc: Số 6 đường số 18 Bời Lời, khu phố Ninh Trung, phường Ninh Sơn, thành phố Tây Ninh, tỉnh Tây Ninh</t>
  </si>
  <si>
    <t>SĐT: 0919470876</t>
  </si>
  <si>
    <t>Thửa đất hiện trạng số 144
(Trích từ thửa đất số 576, tờ BĐĐC số 36)</t>
  </si>
  <si>
    <t>Số phát hành GCN: BV052608
Số vào sổ: 
Ngày cấp:18/4/2014</t>
  </si>
  <si>
    <t>Cây mai vàng đường kính 2cm cao 1m</t>
  </si>
  <si>
    <t>Cây nguyệt quế đường kính 5cm cao 1m</t>
  </si>
  <si>
    <t>Lê Thanh Tuấn
Võ Ngọc Thủy</t>
  </si>
  <si>
    <t>Đc: Khu phố 4, Phường 3, thành phố Tây Ninh, tỉnh Tây Ninh</t>
  </si>
  <si>
    <t>Số phát hành GCN: CT275272
Số vào sổ: 
Ngày cấp:28/11/2019</t>
  </si>
  <si>
    <t>Nguyễn Hóa</t>
  </si>
  <si>
    <t>Năm sinh: 1956</t>
  </si>
  <si>
    <t>CCCD: 052056009484</t>
  </si>
  <si>
    <t>SĐT: 0962962302</t>
  </si>
  <si>
    <t>Đc: Số 368 đường  Bời Lời, khu phố Ninh Trung, phường Ninh Sơn, thành phố Tây Ninh, tỉnh Tây Ninh</t>
  </si>
  <si>
    <t>Thửa đất hiện trạng số 141
(Trích từ thửa đất số 631, tờ BĐĐC số 36)</t>
  </si>
  <si>
    <t>Số phát hành GCN: VH088370
Số vào sổ: 
Ngày cấp:11/4/2017</t>
  </si>
  <si>
    <t>Nhà cấp 3, xây dựng năm 2008, không giấy phép
Kết cấu: Móng gạch + BTCT, cột gạch + BTCT, tường xây gạch tô sơn P, nền gạch men, mái tôn, trần tôn lạnh, cửa sắt kính, hệ thống vệ sinh bên trong</t>
  </si>
  <si>
    <t>Nhà cấp 3, xây dựng năm 2001, không giấy phép
Kết cấu: Nhà 1 trệt 1 lầu, Móng cột đà sàn BTCT, tường xây gạch tô sơn P, nền gạch men, mái là sàn BTCT, trần tôn lạnh, cửa sắt kính, hệ thống vệ sinh bên trong</t>
  </si>
  <si>
    <t>Mái che khung sắt tiền chế, mái lợp tôn, không vách, nền xi măng + gạch tezero (xây dựng năm 2015, không giấp phép)</t>
  </si>
  <si>
    <t>Nề xi măng</t>
  </si>
  <si>
    <t>Võ Tấn Xuân
Nguyễn Thị Chín</t>
  </si>
  <si>
    <t>Quách Nguyễn Trọng Đạt
Phạm Thị Hồng Mai</t>
  </si>
  <si>
    <t>Nhà cấp 4, xây dựng năm 2001, không giấy phép
Kết cấu: Móng gạch + BTCT, cột gạch + BTCT, tường xây gạch tô sơn P, mái tôn, trần tấm nhựa, cửa sắt kéo, hệ thống vệ sinh bên trong</t>
  </si>
  <si>
    <t>Phan Trung Dũng
Nguyễn Thị Thanh Thúy</t>
  </si>
  <si>
    <t>CCCD: 072086007740</t>
  </si>
  <si>
    <t>ĐC 302A đường Điện Biên Phủ, Khu phố Ninh Hòa, phường Ninh Thạnh, thành phố Tây Ninh, tỉnh Tây Ninh</t>
  </si>
  <si>
    <t>ĐT:0989452552</t>
  </si>
  <si>
    <t>trừ diện tích 4,2m2 xây dựng trên đường 4m</t>
  </si>
  <si>
    <t>Hàng rào xây gạch cao cao 3,7m tường dầy 200mm, trụ BTCT, móng gạch + BTCT</t>
  </si>
  <si>
    <t>trừ diện tích 2m x 2,7m xây dựng trên đường 4m</t>
  </si>
  <si>
    <t>trừ diện tích 2m x 4,5m xây dựng trên đường 4m</t>
  </si>
  <si>
    <t>CCCD: 072198003372</t>
  </si>
  <si>
    <t>ĐC 509 đường Bời Lời khu phố Ninh Thọ, phường Ninh Sơn, thành phố Tây Ninh, tỉnh Tây Ninh</t>
  </si>
  <si>
    <t>ĐT:0918405465</t>
  </si>
  <si>
    <t xml:space="preserve">Thửa đất hiện trạng số 18,20
(Trích từ thửa đất số 407,541, tờ BĐĐC số 37 </t>
  </si>
  <si>
    <t>Số phát hành GCN: DR035465,DR035467
Số vào sổ: 
Ngày cấp: 31/12/2024</t>
  </si>
  <si>
    <t>Mái che khung sắt tiền chế, không vách, nền gạch men, cửa sắt cuốn (xây dựng năm 1999, không giấy phép)</t>
  </si>
  <si>
    <t>Mái che khung sắt tiền chế, không vách, nền gạch tàu + xi măng (xây dựng năm 2015, không giấy phép)</t>
  </si>
  <si>
    <t>Ống nhựa Bình Minh</t>
  </si>
  <si>
    <t>Lê Văn Xuân</t>
  </si>
  <si>
    <t>CCCD:052054000249</t>
  </si>
  <si>
    <t>ĐC 587 đường Bời Lời khu phố Ninh Thọ, phường Ninh Sơn, thành phố Tây Ninh, tỉnh Tây Ninh</t>
  </si>
  <si>
    <t>ĐT: 0982594597</t>
  </si>
  <si>
    <t>Số phát hành GCN: DO667803
Số vào sổ: 
Ngày cấp: 25/7/1995</t>
  </si>
  <si>
    <t>Nhà tạm số 2 (xây dựng năm 2013, không giấy phép)
Kết cấu: Móng gạch, cột trụ sắt, vách tôn, khung sắt, mái tôn, trần tấm nhựa, nền gạch men, cửa sắt</t>
  </si>
  <si>
    <t>Nhà tạm số 1 (xây dựng năm 2013, không giấy phép)
Kết cấu: Móng gạch, cột trụ sắt, vách tôn, khung sắt, mái tôn, trần tấm nhựa thả, nền xi măng + gạch men, cửa kéo xếp</t>
  </si>
  <si>
    <t>Mái che khung sắt tiền chế, mái lưới lan, không vách nền gạch tezero (xây dựng năm 2010, không giấy phép)</t>
  </si>
  <si>
    <t>Mái che khung sắt tiền chế, mái bạt kéo, không vách nền gạch tezero (xây dựng năm 2010, không giấy phép)</t>
  </si>
  <si>
    <t>Cây mít 20 năm</t>
  </si>
  <si>
    <t>Cây xanh đường kính 40cm</t>
  </si>
  <si>
    <t>Chậu nhựa (trồng cây kiểng)</t>
  </si>
  <si>
    <t>Nguyễn Thị Xinh</t>
  </si>
  <si>
    <t>CCCD:072188013835</t>
  </si>
  <si>
    <t>ĐC 30/1 đường Bời Lời khu phố Ninh Trung, phường Ninh Sơn, thành phố Tây Ninh, tỉnh Tây Ninh</t>
  </si>
  <si>
    <t>Số phát hành GCN: AO 426862
Số vào sổ: 
Ngày cấp: 04/52009</t>
  </si>
  <si>
    <t>Thửa đất hiện trạng số 71
(Trích từ thửa đất số 310, tờ BĐĐC số 37</t>
  </si>
  <si>
    <t>Mái che khung sắt tiền chế, mái tôn, không vách nền gạch tezero (xây dựng năm 2010, không giấy phép)</t>
  </si>
  <si>
    <t>Phan Công Thùy
Phan Thị Diễm</t>
  </si>
  <si>
    <t>CCCD:072072002812</t>
  </si>
  <si>
    <t>ĐC 276 đường Bời Lời khu phố Ninh Trung, phường Ninh Sơn, thành phố Tây Ninh, tỉnh Tây Ninh</t>
  </si>
  <si>
    <t>ĐT: 0964393057</t>
  </si>
  <si>
    <t>Nhà cấp 4 (xây dựng năm 2002, không giấy phép)
Kết cấu: Móng gạch + BTCT, cột gạch + BTCT, tường xây gạch tô sơn P, trận tôn lạnh, mái lợp tôn, nền gạch men, cửa sắt kính, hệ thống vệ sinh bên trong</t>
  </si>
  <si>
    <t>Mái che khung sắt tiền chế, mái tôn, không vách, nền xi măng (xây dựng năm 2002, không giấy phép)</t>
  </si>
  <si>
    <t xml:space="preserve">Số phát hành GCN:  
Số vào sổ: 
Ngày cấp:  </t>
  </si>
  <si>
    <t>Mái che khung sắt tiền chế, mái bạt kéo, không vách, nền đất (xây dựng năm        , không giấy phép)</t>
  </si>
  <si>
    <t>Thửa đất hiện trạng số 32,12
(Trích từ thửa đất số 615, tờ BĐĐC số 37</t>
  </si>
  <si>
    <t>Nguyễn Như Thanh</t>
  </si>
  <si>
    <t>CCCD: 072193004686</t>
  </si>
  <si>
    <t>ĐC:  787 đường Bời Lời khu phố Ninh Trung, phường Ninh Sơn, thành phố Tây Ninh, tỉnh Tây Ninh</t>
  </si>
  <si>
    <t>ĐT:  0938472483</t>
  </si>
  <si>
    <t>Thửa đất hiện trạng số 352
(Trích từ thửa đất số 1061, tờ BĐĐC số 41</t>
  </si>
  <si>
    <t>Số phát hành GCN:  CR 213266
Số vào sổ: 
Ngày cấp:  01/7/2019</t>
  </si>
  <si>
    <t>Nhà cấp 4 (xây dựng năm 2000, không giấy phép)
Kết cấu: Móng gạch, cột gạch, tường xây gạch tô sơn P, mái tôn, trần tôn lạnh, nền gạch tàu, cửa kéo xếp</t>
  </si>
  <si>
    <t>Mái che khung sắt tiền chế, mái tôn, không vách, nền gạch tàu (xây dựng năm 2000, không giấy phép)</t>
  </si>
  <si>
    <t>Phan Hồng Quang
Phan Anh Hào</t>
  </si>
  <si>
    <t>CCCD: 072095000275</t>
  </si>
  <si>
    <t>ĐC:  354 đường Bời Lời khu phố Ninh Trung, phường Ninh Sơn, thành phố Tây Ninh, tỉnh Tây Ninh</t>
  </si>
  <si>
    <t>ĐT:  0777994195</t>
  </si>
  <si>
    <t>Số phát hành GCN:  CS312663
Số vào sổ: 
Ngày cấp:  25/07/2019</t>
  </si>
  <si>
    <t>Nhà cấp 4 (xây dựng năm 2013, không giấy phép)
Kết cấu: Móng gạch, cột gạch, tường xây gạch quét vôi, mái tôn, trần thả, nền gạch men, cửa khung sắt + tấm nhôm, mặt dựng ốp gạch ceramic</t>
  </si>
  <si>
    <t>Thửa đất hiện trạng số 116,118
(Trích từ thửa đất số 722, tờ BĐĐC số 36</t>
  </si>
  <si>
    <t>Cần xem lại thửa 117 (đường QH 4m nhưng có thể hiện gtrong giấy đất)</t>
  </si>
  <si>
    <t>Mái che khung sắt tiền chế, mái tôn, không vách, nền xi măng (xây dựng năm 2020, không giấy phép)</t>
  </si>
  <si>
    <t>Lê Thị Việt</t>
  </si>
  <si>
    <t>CCCD: 052163007935</t>
  </si>
  <si>
    <t>ĐC:  326 đường Bời Lời khu phố Ninh Trung, phường Ninh Sơn, thành phố Tây Ninh, tỉnh Tây Ninh</t>
  </si>
  <si>
    <t>ĐT:  0967373552</t>
  </si>
  <si>
    <t>Thửa đất hiện trạng số 50
(Trích từ thửa đất số 128, tờ BĐĐC số 37</t>
  </si>
  <si>
    <t>Số phát hành GCN:  CG965908
Số vào sổ: 
Ngày cấp:  10/02/2017</t>
  </si>
  <si>
    <t>Mái che khung sắt tiền chế, mái tôn, một vách, nền gạch men (xây dựng năm 2009, không giấy phép)</t>
  </si>
  <si>
    <t>CCCD: 052063000041</t>
  </si>
  <si>
    <t>ĐC:  348 đường Bời Lời khu phố Ninh Trung, phường Ninh Sơn, thành phố Tây Ninh, tỉnh Tây Ninh</t>
  </si>
  <si>
    <t>ĐT:  0866466340</t>
  </si>
  <si>
    <t>Ống nhựa Bình Minh 21mm</t>
  </si>
  <si>
    <t>Lưu Kim Phụng
Nguyễn Thái Hà</t>
  </si>
  <si>
    <t>CCCD: 072178003633</t>
  </si>
  <si>
    <t>ĐC:  599 đường Bời Lời khu phố Ninh Thọ, phường Ninh Sơn, thành phố Tây Ninh, tỉnh Tây Ninh</t>
  </si>
  <si>
    <t>Số phát hành GCN:  CP292776
Số vào sổ: 
Ngày cấp:  26/9/2018</t>
  </si>
  <si>
    <t>Nhà tạm (xây dựng năm 2006, không giấy phép)
Kết cấu: Móng, cột xây gạch, tường xây gạch không tô, trần tôn lạnh giã gỗ, nền lát gạch tàu</t>
  </si>
  <si>
    <t>Nhà cấp 4 (xây dựng năm 2004, không giấy phép)
Kết cấu: Móng gạch +  BTCT, cột gạch + BTCT, tường xây gạch tô sơn P, mái tôn, trần tôn lạnh, nền gạch men, cửa kéo xếp, hệ thống vệ sinh bên trong</t>
  </si>
  <si>
    <t>Mái che khung sắt tiền chế không vách, mái tôn, nền gạch tezero (xây dựng năm 2004, không giấy phép)</t>
  </si>
  <si>
    <t>Phan Công Hòa</t>
  </si>
  <si>
    <t>CCCD: 052065013522</t>
  </si>
  <si>
    <t>ĐC:  404 đường Bời Lời khu phố Ninh Trung, phường Ninh Sơn, thành phố Tây Ninh, tỉnh Tây Ninh</t>
  </si>
  <si>
    <t>ĐT:  0913058052</t>
  </si>
  <si>
    <t>Nhà cấp 4 (xây dựng năm 2010, không giấy phép)
Kết cấu: Móng cột gạch + BTCT, tường xây gạch không tô, một vách, mái tôn, xà gồ sắt, nền xi măng</t>
  </si>
  <si>
    <t>Mái che khung sắt tiền chế + gỗ, không vách, mái tôn, nền xi măng (xây dựng năm 2010, không giấy phép)</t>
  </si>
  <si>
    <t>ĐC:  669 đường Bời Lời khu phố Ninh Trung, phường Ninh Sơn, thành phố Tây Ninh, tỉnh Tây Ninh</t>
  </si>
  <si>
    <t>ĐT:  0986880647</t>
  </si>
  <si>
    <t>Số phát hành GCN:  W815458
Số vào sổ: 
Ngày cấp:  08/5/2003</t>
  </si>
  <si>
    <t>Thửa đất hiện trạng số 238
(Trích từ thửa đất số 34, tờ BĐĐC số 4</t>
  </si>
  <si>
    <t>Nhà cấp 3 (xây dựng năm 2003, không giấy phép)
Kết cấu: Móng khung cột đà BTCT, tường xây gạch tô sơn P, trần tấm nhựa có 01 gác gỗ, sàn gỗ, trần tôn lạnh, mái tôn có ban công (0,8m x 3m), cầu thang sắt, cửa sắt cuốn, hệ thống vệ sinh bên trong (nhà nhờ 01 vách)</t>
  </si>
  <si>
    <t>Thửa đất hiện trạng số 86,100
(Trích từ thửa đất số 239, 336 tờ BĐĐC số 36</t>
  </si>
  <si>
    <t>Ngô Đình Nguyên
Nguyễn Thị Như Thủy</t>
  </si>
  <si>
    <t>CCCD: 052183011724</t>
  </si>
  <si>
    <t>ĐC:  63 đường Bời Lời khu phố Ninh Lộc, phường Ninh Sơn, thành phố Tây Ninh, tỉnh Tây Ninh</t>
  </si>
  <si>
    <t>ĐT:  0917115757</t>
  </si>
  <si>
    <t>Thửa đất hiện trạng số 193
(Trích từ thửa đất số 510, tờ BĐĐC số 43</t>
  </si>
  <si>
    <t>Ki ót (tương đương nhà cấp 4), xây dựng năm 2021, không giấy phép
Kết cấu: Mái tôn, trần nhựa giã gỗ, nền gạch men, vách tôn + kính + cửa sắt cuốn</t>
  </si>
  <si>
    <t>Mái che khung sắt tiền chế, mái lợp tôn, có vách, nền gạch men (xây dựng năm 2021, không giấy phép)</t>
  </si>
  <si>
    <t>Mái che khung sắt tiền chế, mái bạt kéo, nền gạch men (xây dựng năm 2021, không giấy phép)</t>
  </si>
  <si>
    <t>Đá hoa cương</t>
  </si>
  <si>
    <t>CCCD: 072069004149</t>
  </si>
  <si>
    <t>ĐC:  282 đường Bời Lời khu phố Ninh Trung, phường Ninh Sơn, thành phố Tây Ninh, tỉnh Tây Ninh</t>
  </si>
  <si>
    <t>ĐT:  0347359559</t>
  </si>
  <si>
    <t>Số phát hành GCN:  EO 615437
Số vào sổ: 
Ngày cấp:  12/8/1995</t>
  </si>
  <si>
    <t>Nhà cấp 3 (xây dựng năm 1995, không giấy phép)
Kết cấu: nhà 1 trệt 1 lầu, móng cột BTCT, dáy sàn BTCT, chiều cao từ nền nhà đến đỉnh mái là 6,07m, tường xây gạch quét vôi, mái lợp tôn, nền gạch tàu, cửa chính khung sắt + nhôm, sê nô tầng trệt từ mặt dựng nhà ra 1,3m, sê nô tầng 1 ra 0,86m</t>
  </si>
  <si>
    <t>Mái che khung sắt tiền chế, mái lợp tôn, không vách, nền bê tông xi măng (xây dựng năm 1995, không giấy phép)</t>
  </si>
  <si>
    <t>Cây mai đường kính 1cm cao dưới 1m</t>
  </si>
  <si>
    <t>Trương Hoàng Cừ
Nguyễn Thị Kim Huyên</t>
  </si>
  <si>
    <t>CCCD: 072055000342</t>
  </si>
  <si>
    <t>ĐC:    đường Bời Lời khu phố Ninh Thọ, phường Ninh Sơn, thành phố Tây Ninh, tỉnh Tây Ninh</t>
  </si>
  <si>
    <t>ĐT:  0989985637</t>
  </si>
  <si>
    <t>Thửa đất hiện trạng số 82
(Trích từ thửa đất số 348, tờ BĐĐC số 37</t>
  </si>
  <si>
    <t>Số phát hành GCN:  AO 466163
Số vào sổ: 
Ngày cấp:  09/02/2009</t>
  </si>
  <si>
    <t>Nhà cấp 4 (xây dựng năm 2009, không giấy phép)
Kết cấu: Móng cột BTCT, tường xây gạch tô quét vôi, tường dán tấm xốp, mái lợp tôn, trần tôn lạnh, nền lát gạch men (400 x400) cửa nhôm kính, cửa sắt cuốn</t>
  </si>
  <si>
    <t>Lê Hoàng Phúc
Trần Thị Vân</t>
  </si>
  <si>
    <t>CCCD: 072079001578</t>
  </si>
  <si>
    <t>ĐC: 22 đường số 53 Điện Biên Phủ, khu phố Ninh Thọ, phường Ninh Sơn, thành phố Tây Ninh, tỉnh Tây Ninh</t>
  </si>
  <si>
    <t>ĐT:  0973717797</t>
  </si>
  <si>
    <t>Thửa đất hiện trạng số 375
(Trích từ thửa đất số 475, tờ BĐĐC số 37</t>
  </si>
  <si>
    <t>Số phát hành GCN:  CB 668051
Số vào sổ: 
Ngày cấp:  04/7/2016</t>
  </si>
  <si>
    <t>Nhà cấp 4 (xây dựng năm 2010, không giấy phép)
Kết cấu: Móng cột gạch + BTCT, tường xây gạch tô, tường dán tấm đề can phía trong, mái lợp tôn, trần tôn lạnh, nền lát gạch men, cửa kéo xếp</t>
  </si>
  <si>
    <t>Mái che khung sắt tiền chế, không vách, nền xi măng (xây dựng năm 2010, không giấy phép)</t>
  </si>
  <si>
    <t>Đào Thị Kim Chi</t>
  </si>
  <si>
    <t>ĐC:    đường Bời Lời, khu phố Ninh Trung, phường Ninh Sơn, thành phố Tây Ninh, tỉnh Tây Ninh</t>
  </si>
  <si>
    <t>Thửa đất hiện trạng số 93,94
(Trích từ thửa đất số 140, tờ BĐĐC số 05</t>
  </si>
  <si>
    <t>Mái che khung sắt tiền chế, không vách, nền bê tông đá 1 x2 (xây dựng năm 2017, không giấy phép)</t>
  </si>
  <si>
    <t>Lê Thanh Dũng</t>
  </si>
  <si>
    <t>CCCD: 072077004779</t>
  </si>
  <si>
    <t>ĐC: 499 đường Bời Lời, khu phố Ninh Thọ, phường Ninh Sơn, thành phố Tây Ninh, tỉnh Tây Ninh</t>
  </si>
  <si>
    <t xml:space="preserve">Số phát hành GCN:   
Số vào sổ: 
Ngày cấp:   </t>
  </si>
  <si>
    <t>Nhà cấp 4 (xây dựng năm        , không giấy phép)
Kết cấu: Móng cột BTCT, tường xây gạch tô sơn P, mái tôn, trần tôn lạnh, nền gạch men (600 x600) cửa nhôm kính + cửa cuốn</t>
  </si>
  <si>
    <t>Mái che khung sắt tiền chế, không vách, nền xi măng (xây dựng năm      , không giấy phép)</t>
  </si>
  <si>
    <t xml:space="preserve">Nhà tạm cột bê tông xi măng đúc sẳn, mái lợp tôn, 01 vách lưới B40, nền xi măng </t>
  </si>
  <si>
    <t>Phan Hồng Ân
Đỗ Thị Bích</t>
  </si>
  <si>
    <t>CCCD: 052063000037</t>
  </si>
  <si>
    <t xml:space="preserve">ĐT: 0328246408  </t>
  </si>
  <si>
    <t>Số phát hành GCN:  AG 529576 
Số vào sổ: 
Ngày cấp:   10/8/2006</t>
  </si>
  <si>
    <t>Lê Hoàng Anh Tuấn</t>
  </si>
  <si>
    <t>CCCD: 0072086011981</t>
  </si>
  <si>
    <t>ĐC: 400 đường Bời Lời, khu phố Ninh Trung, phường Ninh Sơn, thành phố Tây Ninh, tỉnh Tây Ninh</t>
  </si>
  <si>
    <t>ĐT: 0949229517</t>
  </si>
  <si>
    <t>Số phát hành GCN:  DD 931038
Số vào sổ: 
Ngày cấp:   10/01/2022</t>
  </si>
  <si>
    <t xml:space="preserve">Nhà cấp 4, xây dựng năm 1993, không giấy phép
Kết cấu: Móng cột BTCT, ô văn BTCT, tường xây gạch tô quét vôi, mái tôn, nền gạch men </t>
  </si>
  <si>
    <t>Thửa đất hiện trạng số 181
(Trích từ thửa đất số 481 tờ BĐĐC số 36</t>
  </si>
  <si>
    <t>Số phát hành GCN:  BE 559916
Số vào sổ: 
Ngày cấp:  28/7/2011</t>
  </si>
  <si>
    <t>Nhà cấp 4 (xây dựng năm 1992, không giấy phép)
Kết cấu: Móng cột gạch + BTCT, sàn BTCT, tường xây gạch tô sơn P, mái tôn, cửa sắt kính, hệ thống vệ sinh bên trong</t>
  </si>
  <si>
    <t>Mái che khung sắt tiền chế, không vách, mái tôn, nền bê tông (xây dựng năm 2000, không giấy phép)</t>
  </si>
  <si>
    <t>Nguyễn Thị Sương</t>
  </si>
  <si>
    <t>CCCD: 072188010625</t>
  </si>
  <si>
    <t>ĐC:  394 đường Bời Lời khu phố Ninh Trung, phường Ninh Sơn, thành phố Tây Ninh, tỉnh Tây Ninh</t>
  </si>
  <si>
    <t>ĐT:  0911557080</t>
  </si>
  <si>
    <t>Thửa đất hiện trạng số 171
(Trích từ thửa đất số 926 tờ BĐĐC số 36</t>
  </si>
  <si>
    <t>Số phát hành GCN:  DP 301591
Số vào sổ: 
Ngày cấp:  29/7/2024</t>
  </si>
  <si>
    <t>Nhà cấp 4 (xây dựng năm 2006, có giấy phép nhưng xây dựng không đúng vị trí được cấp phép)
Kết cấu: Móng cột  BTCT, tường xây gạch tô sơn P, mái tôn, trần tấm nhựa thả, nền lát gạch ceeerramic (600 x 600)</t>
  </si>
  <si>
    <t>Mái che khung sắt tiền chế, có vách, mái tôn, nền xi măng (xây dựng năm 2006, không giấy phép)</t>
  </si>
  <si>
    <t>CCCD: 072062000919</t>
  </si>
  <si>
    <t>ĐC:  396 đường Bời Lời khu phố Ninh Trung, phường Ninh Sơn, thành phố Tây Ninh, tỉnh Tây Ninh</t>
  </si>
  <si>
    <t>ĐT: 01685633084</t>
  </si>
  <si>
    <t>Lê Văn Cửa
Trần Thị Lắm</t>
  </si>
  <si>
    <t>Thửa đất hiện trạng số187
(Trích từ thửa đất số 653 tờ BĐĐC số 36</t>
  </si>
  <si>
    <t>Số phát hành GCN:  CH 151329
Số vào sổ: 
Ngày cấp:  06/7/2017</t>
  </si>
  <si>
    <t>Nhà cấp 4 (xây dựng năm 2015, không giấy phép )
Kết cấu: Móng cột  BTCT, tường xây gạch tô quét vôi, mái tôn, trần ôn lạnh, tường ốp gạch cao 1,6m (250 x 400), nền gạch men, cửa sắt cuốn, hệ thống vệ sinh bên trong</t>
  </si>
  <si>
    <t>Mái che khung sắt tiền chế, không vách, mái tôn, trần tôn lạnh, nền gạch tezero,  (xây dựng năm 2012, không giấy phép)</t>
  </si>
  <si>
    <t>Cây mai đường kính 5cm cao 2m</t>
  </si>
  <si>
    <t>CCCD: 072077000220</t>
  </si>
  <si>
    <t>ĐC:  443 đường Bời Lời khu phố Ninh Tân, phường Ninh Sơn, thành phố Tây Ninh, tỉnh Tây Ninh</t>
  </si>
  <si>
    <t>ĐT: 0919664734</t>
  </si>
  <si>
    <t>Thửa đất hiện trạng số 120
(Trích từ thửa đất số 418 tờ BĐĐC số 37</t>
  </si>
  <si>
    <t>Số phát hành GCN:  DK 372805
Số vào sổ: 
Ngày cấp:  026/4/2023</t>
  </si>
  <si>
    <t>Lưu Văn Lẽ</t>
  </si>
  <si>
    <t>Nhà cấp 4 (chủ cũ xây dựng năm 1993, không giấy phép ), năm 2023 nhận chuyển nhượng quyền sử dụng đất, cải tao sữa chữa lại nhà.
Kết cấu: Móng cột  gạch + BTCT, tường xây gạch tô sơn P + tô đá rửa, ô văn BTCT (2,4mx2,6m), mái tôn, trần tấm nhựa thả, nền gạch men, cửa sắt cuốn, hệ thống vệ sinh bên trong</t>
  </si>
  <si>
    <t>Mái che khung sắt tiền chế, không vách, mái tôn, nền bê tông,  (xây dựng năm 2014, không giấy phép)</t>
  </si>
  <si>
    <t>Trần Thị Nhứt</t>
  </si>
  <si>
    <t>CCCD: 052156000220</t>
  </si>
  <si>
    <t>ĐC:  436 đường Bời Lời khu phố Ninh Trung, phường Ninh Sơn, thành phố Tây Ninh, tỉnh Tây Ninh</t>
  </si>
  <si>
    <t>Thửa đất hiện trạng số 231
(Trích từ thửa đất số 582 tờ BĐĐC số 43</t>
  </si>
  <si>
    <t>Số phát hành GCN:  DY593702
Số vào sổ: 
Ngày cấp:  30/7/2015</t>
  </si>
  <si>
    <t>Nhà cấp 4 (xây dựng năm 2000, không giấy phép ).
Kết cấu: Móng gạch, cột gạch, tường xây gạch tô quét vôi, 01 bên vách gắn kính cường lực, cột sắt ốp alu, mái tôn, trần tấm nhựa thả, cửa sắt cuốn, nền gạch men (600x600)</t>
  </si>
  <si>
    <t>Trương Quang Bảy
Võ Thị Mai</t>
  </si>
  <si>
    <t>CCCD: 052062000152</t>
  </si>
  <si>
    <t>ĐC:  360 đường Bời Lời khu phố Ninh Trung, phường Ninh Sơn, thành phố Tây Ninh, tỉnh Tây Ninh</t>
  </si>
  <si>
    <t>ĐT: 0961223014</t>
  </si>
  <si>
    <t>Thửa đất hiện trạng số 132
(Trích từ thửa đất số 647 tờ BĐĐC số 36</t>
  </si>
  <si>
    <t>Số phát hành GCN: CH 084182
Số vào sổ: 
Ngày cấp:  08/6/2017</t>
  </si>
  <si>
    <t>Mái che khung sắt tiền chế, không vách, mái tôn, nền xi măng (xây dựng năm 2002, không giấy phép)</t>
  </si>
  <si>
    <t>Hàng rào lưới B40 trụ xây gạch, móng xây gạch tô trát sơn hoàn chỉnh</t>
  </si>
  <si>
    <t>Ống cống đựng nước ĐK 1m cao 1m</t>
  </si>
  <si>
    <t>Lê Thị Lèo</t>
  </si>
  <si>
    <t>CCCD: 080155007598</t>
  </si>
  <si>
    <t>ĐC:  402 đường Bời Lời khu phố Ninh Trung, phường Ninh Sơn, thành phố Tây Ninh, tỉnh Tây Ninh</t>
  </si>
  <si>
    <t>ĐT: 0911799787</t>
  </si>
  <si>
    <t>Thửa đất hiện trạng số 183
(Trích từ thửa đất số 293 tờ BĐĐC số 36</t>
  </si>
  <si>
    <t>Số phát hành GCN: AI 075990
Số vào sổ: 
Ngày cấp:  23/7/2007</t>
  </si>
  <si>
    <t>Nhà cấp 4 (xây dựng năm 1983, sữa chữa cải tạo năm 2015, không giấy phép)
Kết cấu: Móng cột BTCT, mái tôn, trần tôn lạnh, tường xây gạch tô sơn P ốp gạch men (250x400), nền gạch men cửa sắt kéo</t>
  </si>
  <si>
    <t>Mái che khung sắt tiền chế, không vách, mái tôn, nền xi măng (xây dựng năm 2015, không giấy phép)</t>
  </si>
  <si>
    <t>Lê Văn Thiện</t>
  </si>
  <si>
    <t>CCCD: 052068000453</t>
  </si>
  <si>
    <t>ĐC:    đường Bời Lời khu phố Ninh Trung, phường Ninh Sơn, thành phố Tây Ninh, tỉnh Tây Ninh</t>
  </si>
  <si>
    <t>ĐT: 0366679096</t>
  </si>
  <si>
    <t>Thửa đất hiện trạng số 166
(Trích từ thửa đất số 350 tờ BĐĐC số 2</t>
  </si>
  <si>
    <t>Số phát hành GCN: X206805
Số vào sổ: 
Ngày cấp:  03/9/2003</t>
  </si>
  <si>
    <t>Nhà cấp 4 (xây dựng năm 1996,  không giấy phép)
Kết cấu: Móng cột BTCT, mái tôn, trần tấm nhựa thả, ô văn BTCT, cửa sắt cuốn, tường xây gạch tô sơn P, ốp gạch men (300x450) cao 2m, nền gạch men (600x600)cửa sắt kéo</t>
  </si>
  <si>
    <t>Nguyễn Văn Thiệu</t>
  </si>
  <si>
    <t>CCCD: 072069002111</t>
  </si>
  <si>
    <t>ĐC: 398 đường Bời Lời khu phố Ninh Trung, phường Ninh Sơn, thành phố Tây Ninh, tỉnh Tây Ninh</t>
  </si>
  <si>
    <t>ĐT: 0913806199</t>
  </si>
  <si>
    <t>Thửa đất hiện trạng số 186
(Trích từ thửa đất số 296 tờ BĐĐC số 36</t>
  </si>
  <si>
    <t>Số phát hành GCN: CN 433506
Số vào sổ: 
Ngày cấp:  31/5/2018</t>
  </si>
  <si>
    <t>Nhà cấp 4 (xây dựng năm 1996,  không giấy phép)
Kết cấu: Móng cột BTCT, mái tôn, trần tôn lạnh, tường xay gạch tô sơn P, nền gạch men (300x300) + gạch tezero, cửa sắt cuốn, cửa sắt kéo</t>
  </si>
  <si>
    <t>Huỳnh Tấn Minh
Châu Mỹ Nghĩa</t>
  </si>
  <si>
    <t>CCCD: 072073003198</t>
  </si>
  <si>
    <t>ĐC: 386 đường Bời Lời khu phố Ninh Trung, phường Ninh Sơn, thành phố Tây Ninh, tỉnh Tây Ninh</t>
  </si>
  <si>
    <t>ĐT: 0913112526</t>
  </si>
  <si>
    <t>Thửa đất hiện trạng số 163
(Trích từ thửa đất số 291 tờ BĐĐC số 36</t>
  </si>
  <si>
    <t>Số phát hành GCN: BE 432688
Số vào sổ: 
Ngày cấp:  24/11/2011</t>
  </si>
  <si>
    <t>Mái che khung sắt tiền chế, mái lợp tôn, cột (cây + sắt), 01 bên vách tôn, nền xi măng</t>
  </si>
  <si>
    <t>Dương Thị Hằng Nga</t>
  </si>
  <si>
    <t>CCCD: 0079172000578</t>
  </si>
  <si>
    <t>ĐC: 30/99/17/2/8 Lâm văn Bền, phường Tân Kiểng, Quận 7, TPHCM</t>
  </si>
  <si>
    <t>ĐT: 0854430640</t>
  </si>
  <si>
    <t>Thửa đất hiện trạng số 61
(Trích từ thửa đất số 749 tờ BĐĐC số 5</t>
  </si>
  <si>
    <t>Số phát hành GCN: Q178126
Số vào sổ: 
Ngày cấp:  15/5/2000</t>
  </si>
  <si>
    <t xml:space="preserve">Nhà cấp 4 (xây dựng năm 2000,  không giấy phép)
Kết cấu: Móng cột BTCT, mái tôn, trần tôn lạnh, tường xay gạch tô sơn P, nền gạch tàu </t>
  </si>
  <si>
    <t>Mái che khung sắt tiền chế, mái lợp tôn, không vách, nền bê tông xi măng</t>
  </si>
  <si>
    <t>Nguyễn Văn Quy</t>
  </si>
  <si>
    <t>CCCD:072054000904</t>
  </si>
  <si>
    <t>ĐC: 13 đường Bời Lời khu phố Ninh An, phường Ninh Sơn, thành phố Tây Ninh, tỉnh Tây Ninh</t>
  </si>
  <si>
    <t>ĐT: 0976561006</t>
  </si>
  <si>
    <t>Số phát hành GCN: S 964382
Số vào sổ: 
Ngày cấp:  09/7/2001</t>
  </si>
  <si>
    <t>Mái che khung sắt tiền chế, mái lợp tôn, 01 vách tôn, nền gạch men</t>
  </si>
  <si>
    <t>Hàng rào xây gạch, tường 10cm, tô trát hoàn thiện 2 mặt</t>
  </si>
  <si>
    <t>Lê Ngọc Dược</t>
  </si>
  <si>
    <t>ĐC: 438 đường Bời Lời khu phố Ninh Trung, phường Ninh Sơn, thành phố Tây Ninh, tỉnh Tây Ninh</t>
  </si>
  <si>
    <t>CCCD:072084001500</t>
  </si>
  <si>
    <t>Thửa đất hiện trạng số 229
(Trích từ thửa đất số 320 tờ BĐĐC số 42</t>
  </si>
  <si>
    <t>Số phát hành GCN: BD 901986
Số vào sổ: 
Ngày cấp:  03/11/2020</t>
  </si>
  <si>
    <t>Nhà cấp 4, xây dựng năm 1995, cải tạo sữa chữa năm 2020, không giấy phép
Kết cấu: Móng cột BTCT, 01 bên tường xây gạch tô sơn P, 01 bên không vách (nhà nhờ vách), mái tôn, trần tấm nhựa thả, cửa kính cường lực + cửa cuốn, nền gạch men (600x600)</t>
  </si>
  <si>
    <t>Lê Ngọc Diện</t>
  </si>
  <si>
    <t>CCCD:072089013973</t>
  </si>
  <si>
    <t>ĐC: 438A đường Bời Lời khu phố Ninh Trung, phường Ninh Sơn, thành phố Tây Ninh, tỉnh Tây Ninh</t>
  </si>
  <si>
    <t>ĐT: 0933533657</t>
  </si>
  <si>
    <t>Thửa đất hiện trạng số 228
(Trích từ thửa đất số 319 tờ BĐĐC số 42</t>
  </si>
  <si>
    <t>Mái bạt kéo</t>
  </si>
  <si>
    <t>Mái che khung sắt tiền chế, mái tôn, nền xi măng</t>
  </si>
  <si>
    <t>Phạm Thị Lan</t>
  </si>
  <si>
    <t>CCCD:072168001229</t>
  </si>
  <si>
    <t>ĐT: 0386737127</t>
  </si>
  <si>
    <t>Thửa đất hiện trạng số 122
(Trích từ thửa đất số 952 tờ BĐĐC số 4</t>
  </si>
  <si>
    <t>Số phát hành GCN: X206463
Số vào sổ: 
Ngày cấp: 06/8/2003</t>
  </si>
  <si>
    <t>Mái che khung sắt tiền chế, mái tôn, không vách, nền bê tông (xây dựng năm 2011, không giấy phép)</t>
  </si>
  <si>
    <t>Nguyễn Văn Hoàng
Nguyễn Thị Hoài Hương</t>
  </si>
  <si>
    <t>CCCD:072047000502</t>
  </si>
  <si>
    <t>ĐT: 0915173958</t>
  </si>
  <si>
    <t>Thửa đất hiện trạng số 147
(Trích từ thửa đất số 813 tờ BĐĐC số 43</t>
  </si>
  <si>
    <t>Số phát hành GCN: CY 492514
Số vào sổ: 
Ngày cấp: 06/11/2020</t>
  </si>
  <si>
    <t>Mái che khung sắt tiền chế, mái tôn, không vách, nền gạch tàu (xây dựng năm 2015, không giấy phép)</t>
  </si>
  <si>
    <t>Phạm Văn Cọ</t>
  </si>
  <si>
    <t>CCCD: 080064000190</t>
  </si>
  <si>
    <t>ĐT: 0937638358</t>
  </si>
  <si>
    <t>Thửa đất hiện trạng số 121
(Trích từ thửa đất số 190 tờ BĐĐC số 37</t>
  </si>
  <si>
    <t>Số phát hành GCN: CL 501322
Số vào sổ: 
Ngày cấp: 06/11/2017</t>
  </si>
  <si>
    <t>Mái che (số 2) khung sắt tiền chế, mái tôn, không vách, nền bê tông (xây dựng năm 2013, không giấy phép)</t>
  </si>
  <si>
    <t>Mái che (số 1) khung sắt tiền chế, mái tôn, không vách, nền gạch men (xây dựng năm 2013, không giấy phép)</t>
  </si>
  <si>
    <t>Trần Thị Thủy Tiên</t>
  </si>
  <si>
    <t>CCCD: 072193001389</t>
  </si>
  <si>
    <t>ĐC:  595  đường Bời Lời khu phố Ninh Thọ, phường Ninh Sơn, thành phố Tây Ninh, tỉnh Tây Ninh</t>
  </si>
  <si>
    <t>ĐT: 0779944029</t>
  </si>
  <si>
    <t>Thửa đất hiện trạng số 160
(Trích từ thửa đất số 511 tờ BĐĐC số 43</t>
  </si>
  <si>
    <t>Số phát hành GCN: DA 051893
Số vào sổ: 
Ngày cấp: 28/12/2020</t>
  </si>
  <si>
    <t>Nhà cấp 4 (xây dựng năm 2015, không giấy phép)
KẾT CẤU: Móng gạch, cột gạch + BTCT, tường xây gạch tô sơn P, ốp gạch men cao 3,16m (200x400), mái tôn, trần tôn lạnh, cửa nhôm kính + cửa kéo, nền gạch men (600x600)</t>
  </si>
  <si>
    <t>Nền gạch men (600x600)</t>
  </si>
  <si>
    <t>Giếng thấm sâu 2m đặt 04 cống BTCT đường kính 1m cao 0,5m</t>
  </si>
  <si>
    <t>CCCD:079175030641</t>
  </si>
  <si>
    <t>ĐC:  118  đường Bời Lời khu phố Ninh Thọ, phường Ninh Sơn, thành phố Tây Ninh, tỉnh Tây Ninh</t>
  </si>
  <si>
    <t>ĐT: 0982326970</t>
  </si>
  <si>
    <t>Thửa đất hiện trạng số 201
(Trích từ thửa đất số 38 tờ BĐĐC số 43</t>
  </si>
  <si>
    <t>Số phát hành GCN: DH409925
Số vào sổ: 
Ngày cấp: 04/8/2022</t>
  </si>
  <si>
    <t>Mái che khung sắt tiền chế, mái tôn, trần tôn lạnh, không vách, nền gạch men + tezero (xây dựng năm 2022, không giấy phép)</t>
  </si>
  <si>
    <t>Nhà tạm, xây dựng năm 1997, không giấy phép
Kết cấu: Khung sắt tiền chế, mái tôn, trần tôn lạnh, vách tôn, nền gạch tezero, cửa sắt cuốn</t>
  </si>
  <si>
    <t>ĐC:     đường Bời Lời khu phố Ninh Thọ, phường Ninh Sơn, thành phố Tây Ninh, tỉnh Tây Ninh</t>
  </si>
  <si>
    <t>Thửa đất hiện trạng số 236
(Trích từ thửa đất số 412 tờ BĐĐC số 43</t>
  </si>
  <si>
    <t>Nguyễn Văn Đi</t>
  </si>
  <si>
    <t>Võ Văn Hiếu</t>
  </si>
  <si>
    <t>CCCD:072087011437</t>
  </si>
  <si>
    <t>ĐC:  436  đường Bời Lời khu phố Ninh Trung, phường Ninh Sơn, thành phố Tây Ninh, tỉnh Tây Ninh</t>
  </si>
  <si>
    <t>ĐT: 0975834345</t>
  </si>
  <si>
    <t>Thửa đất hiện trạng số 232
(Trích từ thửa đất số 61 tờ BĐĐC số 43</t>
  </si>
  <si>
    <t>Số phát hành GCN: AO 466275
Số vào sổ: 
Ngày cấp: 18/02/2009</t>
  </si>
  <si>
    <t>Nhà cấp 3, xây dựng năm 1997, không giấy phép
Kết cấu: Móng cột BTCT, tường xây gạch tô đá rửa + sơn P, nền gạch men, sàn BTCT, cửa nhôm kính, nhà 1 trệt 1 lầu</t>
  </si>
  <si>
    <t>Nhà cấp 4, xây dựng năm 1997, không giấy phép
Kết cấu: móng cột gạch + BTCT, tường xây gạch tô sơn P, cửa sắt cuốn, mái tôn, trần tôn lạnh</t>
  </si>
  <si>
    <t>Mái che khung sắt tiền chế, mái tôn, không vách, nền gạch men + tezero (xây dựng năm 1997, không giấy phép)</t>
  </si>
  <si>
    <t>Lê Văn Tiến</t>
  </si>
  <si>
    <t>Mái che khung sắt tiền chế, mái tôn, không vách, nền gạch tàu + xi măng (xây dựng năm …......       , không giấy phép)</t>
  </si>
  <si>
    <t>Mai Thị Mười và các đồng thừa kế của ông Nguyễn Thành Công</t>
  </si>
  <si>
    <t>CCCD: 072137004824</t>
  </si>
  <si>
    <t>ĐC:  406 đường Bời Lời khu phố Ninh Trung, phường Ninh Sơn, thành phố Tây Ninh, tỉnh Tây Ninh</t>
  </si>
  <si>
    <t>Thửa đất hiện trạng số 196
(Trích từ thửa đất số 287 tờ BĐĐC số 36</t>
  </si>
  <si>
    <t>Số phát hành GCN:  AO 452552
Số vào sổ: 
Ngày cấp:  24/12/2008</t>
  </si>
  <si>
    <t>Mái che khung sắt tiền chế, mái tôn, 01 bên vách khung lưới B40 cao 1,9m, nền xi măng (xây dựng năm 2011, không giấy phép)</t>
  </si>
  <si>
    <t>Nguyễn Hữu Thọ
Phan Thị Mười</t>
  </si>
  <si>
    <t>CCCD: 072077001179</t>
  </si>
  <si>
    <t>ĐT:  0918013625</t>
  </si>
  <si>
    <t>Thửa đất hiện trạng số 195
(Trích từ thửa đất số 432 tờ BĐĐC số 36</t>
  </si>
  <si>
    <t>Số phát hành GCN:  
Số vào sổ: 
Ngày cấp:  11/6/2009</t>
  </si>
  <si>
    <t>Mái che khung sắt tiền chế, mái tôn, vách tôn, nền xi măng, cửa sắt cuốn (xây dựng năm 2011, không giấy phép)</t>
  </si>
  <si>
    <t>ĐC:  404A đường Bời Lời khu phố Ninh Trung, phường Ninh Sơn, thành phố Tây Ninh, tỉnh Tây Ninh</t>
  </si>
  <si>
    <t>Thửa đất hiện trạng số 180
(Trích từ thửa đất số 298 tờ BĐĐC số 36</t>
  </si>
  <si>
    <t>Số phát hành GCN:  BA 114304
Số vào sổ: 
Ngày cấp: 26/02/2010</t>
  </si>
  <si>
    <t>Mái che khung sắt tiền chế, mái tôn, không vách, nền xi măng (xây dựng năm 2023, không giấy phép)</t>
  </si>
  <si>
    <t>Huỳnh Tấn Danh
Phạm Thị Lạc</t>
  </si>
  <si>
    <t>ĐC:  70 đường Bời Lời khu phố Ninh Lộc, phường Ninh Sơn, thành phố Tây Ninh, tỉnh Tây Ninh</t>
  </si>
  <si>
    <t>CCCD: 072078002684</t>
  </si>
  <si>
    <t>ĐT:  0911036725</t>
  </si>
  <si>
    <t>Thửa đất hiện trạng số 192
(Trích từ thửa đất số 30 tờ BĐĐC số 43</t>
  </si>
  <si>
    <t>Số phát hành GCN:  DM 440146
Số vào sổ: 
Ngày cấp: 14/9/2023</t>
  </si>
  <si>
    <t>Mái che khung sắt tiền chế, mái tôn, trần tấm nhựa thả, vách gỗ, nền xi măng + gạch men, cửa sắt cuốn (xây dựng năm 2023, không giấy phép)</t>
  </si>
  <si>
    <t>Huỳnh Công Hà
Trần Thị Thu Thủy</t>
  </si>
  <si>
    <t>CCCD: 072067005724</t>
  </si>
  <si>
    <t>ĐT:  0918871624</t>
  </si>
  <si>
    <t>ĐC: 1/22 khu phố Ninh Trung, phường Ninh Sơn, thành phố Tây Ninh, tỉnh Tây Ninh</t>
  </si>
  <si>
    <t>Số phát hành GCN:  DM 537232
Số vào sổ: 
Ngày cấp: 03/11/2023</t>
  </si>
  <si>
    <t>Mái che khung sắt tiền chế, mái tôn, trần tấm nhựa thả, 01 vách, nền xi măng + gạch men, cửa sắt cuốn (xây dựng năm 2017, không giấy phép)</t>
  </si>
  <si>
    <t>Trần Thị Mỹ Ngọc</t>
  </si>
  <si>
    <t>CCCD: 072186012653</t>
  </si>
  <si>
    <t>ĐT:  0982580895</t>
  </si>
  <si>
    <t>Số phát hành GCN:  BE 490801
Số vào sổ: 
Ngày cấp: 010/5/2011</t>
  </si>
  <si>
    <t>Thửa đất hiện trạng số 173
(Trích từ thửa đất số 324 tờ BĐĐC số 36</t>
  </si>
  <si>
    <t>Mái che khung sắt tiền chế, mái tôn, không vách, nền xi măng, cửa khung sắt + tôn (xây dựng năm 2020, không giấy phép)</t>
  </si>
  <si>
    <t>Mái che khung sắt tiền chế, mái tôn, 01 vách tôn, nền xi măng, cửa khung sắt + tôn (xây dựng năm 2020, không giấy phép)</t>
  </si>
  <si>
    <t>Nguyễn Văn Triển</t>
  </si>
  <si>
    <t>Số phát hành GCN: H 090320
Số vào sổ: 04732 QSDĐ/450610
Ngày cấp: 29/01/1997</t>
  </si>
  <si>
    <t>Năm sinh: 1951</t>
  </si>
  <si>
    <t>CCCD: 052051005855</t>
  </si>
  <si>
    <t>Đ/c: Số 448. đường Bời Lời, khu phố Ninh Trung, phường Ninh Sơn, thành phố Tây Ninh, tỉnh Tây Ninh</t>
  </si>
  <si>
    <t>ĐT: 0937471343</t>
  </si>
  <si>
    <t xml:space="preserve">Nhà cấp III. Xây dựng năm 2002, không phép, không bị xử phạt vi phạm hành chính về xây dựng do hộ dân thông tin.
Kết cấu: Móng, cột + BTCT; có sê nô + ô văng đổ BTCT, chiều cao từ nền đến mái là 6,75m, mái lợp tôn, trần tôn lạnh, tường xây gạch có tô + sơn P, cửa khung sắt kính, nền lát gạch men, vệ sinh trong nhà
</t>
  </si>
  <si>
    <t>Diện tích xây dựng ảnh hưởng trong phạm vi lộ giới từ 27m đến 31m</t>
  </si>
  <si>
    <t>Mái che. Xây dựng năm 2002 
Kết cấu: Khung sắt tiền chế, mái lợp tôn, một bên vách tường xây gạch có tô, quét vôi (cao 3,05m, dài 3,0m), nền gạch men, 01 bên không vách.</t>
  </si>
  <si>
    <t>Diện tích phạm vi lộ giới từ 27m đến 31m</t>
  </si>
  <si>
    <t>Diện tích tính đến nhịp cột</t>
  </si>
  <si>
    <t>Thửa đất hiện trạng số 
(Trích từ thửa đất số 39, tờ BĐĐC số 42)</t>
  </si>
  <si>
    <t>Số phát hành GCN: AD 908987
Số vào sổ: H 00978/NS
Ngày cấp: 04/11/2005</t>
  </si>
  <si>
    <t>Năm sinh: 1963</t>
  </si>
  <si>
    <t>CCCD: 072063002595</t>
  </si>
  <si>
    <t>Đ/c: Số 446, đường Bời Lời, khu phố Ninh Trung, phường Ninh Sơn, thành phố Tây Ninh, tỉnh Tây Ninh</t>
  </si>
  <si>
    <t>SĐT: 0987232015</t>
  </si>
  <si>
    <r>
      <rPr>
        <sz val="12"/>
        <rFont val="Times New Roman"/>
        <family val="1"/>
      </rPr>
      <t>Nhà</t>
    </r>
    <r>
      <rPr>
        <b/>
        <sz val="12"/>
        <rFont val="Times New Roman"/>
        <family val="1"/>
      </rPr>
      <t xml:space="preserve"> </t>
    </r>
    <r>
      <rPr>
        <sz val="12"/>
        <rFont val="Times New Roman"/>
        <family val="1"/>
      </rPr>
      <t>cấp III. Xây dựng năm 1988 do hộ dân thông tin.
Kết cấu: Móng, cột, khung, đà + BTCT; mái lợp tôn, trần tôn lạnh, cửa kéo xếp, nền gạch men, vệ sinh trong nhà</t>
    </r>
  </si>
  <si>
    <t>Diện tích xây dựng tính đến nhịp cột</t>
  </si>
  <si>
    <r>
      <rPr>
        <sz val="12"/>
        <rFont val="Times New Roman"/>
        <family val="1"/>
      </rPr>
      <t>Nhà</t>
    </r>
    <r>
      <rPr>
        <b/>
        <sz val="12"/>
        <rFont val="Times New Roman"/>
        <family val="1"/>
      </rPr>
      <t xml:space="preserve"> </t>
    </r>
    <r>
      <rPr>
        <sz val="12"/>
        <rFont val="Times New Roman"/>
        <family val="1"/>
      </rPr>
      <t>cấp IV. Xây dựng năm 1988 do hộ dân thông tin.
Kết cấu: Móng gạch, cột gạch, tường xây gạch không tô, mái lợp tôn, không đóng trần, nền xi măng + gạch tàu, không có vệ sinh.</t>
    </r>
  </si>
  <si>
    <t>Thửa đất hiện trạng số 175
(Trích từ thửa đất số 354, tờ BĐĐC số 02)</t>
  </si>
  <si>
    <t>Số phát hành GCN: D 0559810
Số vào sổ: 03412QSDĐ/D3
Ngày cấp: 07/11/1995</t>
  </si>
  <si>
    <t>CCCD: 072160001706</t>
  </si>
  <si>
    <t>Đc: Số 390, đường Bời Lời, khu phố Ninh Trung, phường Ninh Sơn, thành phố Tây Ninh, tỉnh Tây Ninh</t>
  </si>
  <si>
    <t>SĐT: 0961033657</t>
  </si>
  <si>
    <t>Mái che. Xây dựng năm 2002 do hộ dân thông tin.
Kết cấu: Khung sắt tiền chế, mái lợp tôn, không vách, nền gạch men.</t>
  </si>
  <si>
    <t>Đỗ Thị Trình</t>
  </si>
  <si>
    <t>Số phát hành GCN: AA 01360505
Số vào sổ: CN 1989
Ngày cấp: 21/4/2025</t>
  </si>
  <si>
    <t>Năm sinh: 1973</t>
  </si>
  <si>
    <t>Hộ dân đề nghị bồi thường đất cây lâu năm</t>
  </si>
  <si>
    <t>CCCD: 072173004469</t>
  </si>
  <si>
    <t>Đc: Số 11, đường Trần Phú, khu phố Ninh Trung, phường Ninh Sơn, thành phố Tây Ninh, tỉnh Tây Ninh</t>
  </si>
  <si>
    <t>SĐT: 0982326970</t>
  </si>
  <si>
    <t>Số phát hành GCN: CY 690328
Số vào sổ: CS13178
Ngày cấp: 01/10/2020</t>
  </si>
  <si>
    <t>Nhà cấp IV. Xây dựng năm 2020, không phép do hộ dân thông tin. 
Kết cấu: Móng, khung, đà + BTCT, mái lợp tôn, trần tôn lạnh, tường dán gạch (30x60)cm, nền gạch men (60x60)cm, cửa sắt kéo, không nhà vệ sinh.</t>
  </si>
  <si>
    <t>Nguyễn Văn Tín</t>
  </si>
  <si>
    <t>Số phát hành GCN: AĐ 502565
Số vào sổ: H 01646/NS
Ngày cấp: 4/4/2006</t>
  </si>
  <si>
    <t>Đ/c: Khu phố Ninh Trung, phường Ninh Sơn, thành phố Tây Ninh, tỉnh Tây Ninh</t>
  </si>
  <si>
    <t>Phạm vi lộ giới từ 27m đến 31m</t>
  </si>
  <si>
    <t>Số phát hành GCN: DP 340510
Số vào sổ: CN20443
Ngày cấp: 12/8/2024</t>
  </si>
  <si>
    <t>Năm sinh: 1967; 1969</t>
  </si>
  <si>
    <t>CCCD: 084067002558; 072169002972</t>
  </si>
  <si>
    <t>Đ/c: Tổ 3, ấp Bàu Rã, xã Thạnh Bắc, huyện Tân Biên, tỉnh Tây Ninh</t>
  </si>
  <si>
    <t>SĐT: 0345948159</t>
  </si>
  <si>
    <t>Nhà cấp IV. Xây dựng năm 2015, không phép do hộ dân thông tin. 
Kết cấu: Móng gạch, cột gạch + BTCT, mái lợp tôn, trần tôn lạnh, tường xây gạch có tô + quét vôi, cửa kéo xếp, không nhà vệ sinh.</t>
  </si>
  <si>
    <t>Diện tích xây dựng phạm vi lộ giới từ 27m đến 31m</t>
  </si>
  <si>
    <t>Nguyễn Quốc Công</t>
  </si>
  <si>
    <t>Số phát hành GCN: DĐ 825355
Số vào sổ: CS15642
Ngày cấp:14/3/2022</t>
  </si>
  <si>
    <t>Hộ dân đề nghị bồi thường đất thổ cư</t>
  </si>
  <si>
    <t>CCCD: 072097002736</t>
  </si>
  <si>
    <t>Đ/c: Khu phố Ninh Phú, phường Ninh Sơn, thành phố Tây Ninh, tỉnh Tây Ninh</t>
  </si>
  <si>
    <t>Đặng Văn Tuấn</t>
  </si>
  <si>
    <t>Số phát hành GCN: CV 995251
Số vào sổ: CS15642
Ngày cấp:14/3/2022</t>
  </si>
  <si>
    <t>Năm sinh: 1989</t>
  </si>
  <si>
    <t>CCCD: 072089002421</t>
  </si>
  <si>
    <t>Đc: Số 464, đường Bời Lời, khu phố Ninh Trung, phường Ninh Sơn, thành phố Tây Ninh, tỉnh Tây Ninh</t>
  </si>
  <si>
    <t>SĐT: 0795293069</t>
  </si>
  <si>
    <t>Mái che: Xây dựng năm 1994 do hộ dân thông tin.
Kết cấu: Khung sắt tiền chế, mái lợp tôn, vách tôn (chiều cao 2,4m), nền lát gạch terrazzo, cửa (khung sắt + nhôm), xà gồ gỗ.</t>
  </si>
  <si>
    <t xml:space="preserve">Diện tích ảnh hưởng trong phạm vi lộ giới từ 27m đến lộ giới 31m </t>
  </si>
  <si>
    <t>Số phát hành GCN: D0 953670
Số vào sổ: CN19848
Ngày cấp:25/4/2024</t>
  </si>
  <si>
    <t>SĐT: 0908271032</t>
  </si>
  <si>
    <t>Nhà cấp IV. Xây dựng năm 2001 do hộ dân thông tin
Kết cấu: Móng gạch + BTCT, cột gạch + BTCT, tường xây gạch có tô + sơn P, trần tôn lạnh, mái lợp tôn, cửa kéo xếp, nền gạch men, vệ sinh trong nhà</t>
  </si>
  <si>
    <t>Nhà cấp IV. Xây dựng năm 2001 do hộ dân thông tin
Kết cấu: Móng + BTCT, cột gạch + BTCT, tường xây gạch có tô + sơn P, trần tôn lạnh, mái lợp tôn, cửa kéo xếp, nền gạch men, không vệ sinh trong nhà</t>
  </si>
  <si>
    <t>Đồng hồ điện</t>
  </si>
  <si>
    <t>Lê Ngọc Diễm</t>
  </si>
  <si>
    <t>Số phát hành GCN: BD 901990
Số vào sổ: CH 00757
Ngày cấp: 3/11/2010</t>
  </si>
  <si>
    <t>CCCD: 072182003659</t>
  </si>
  <si>
    <t>Đc: Số 438D, khu phố Ninh Trung, phường Ninh Sơn, thành phố Tây Ninh, tỉnh Tây Ninh</t>
  </si>
  <si>
    <t>Nhà cấp IV. Xây dựng năm 1995, sữa chữa tháng 11/2021 do hộ dân thông tin
Kết cấu: Móng gạch + BTCT, cột gạch + BTCT, tường xây gạch có tô + sơn P, trần tấm nhựa thả, mái lợp tôn, cửa kính cường lực + cửa sắt, nền gạch men, vệ sinh trong nhà</t>
  </si>
  <si>
    <t>Nền gạch terrazzo</t>
  </si>
  <si>
    <r>
      <t xml:space="preserve">
Lê Ngọc Diệu
</t>
    </r>
    <r>
      <rPr>
        <sz val="12"/>
        <rFont val="Times New Roman"/>
        <family val="1"/>
      </rPr>
      <t xml:space="preserve">
</t>
    </r>
    <r>
      <rPr>
        <b/>
        <sz val="12"/>
        <rFont val="Times New Roman"/>
        <family val="1"/>
        <charset val="163"/>
      </rPr>
      <t xml:space="preserve">
</t>
    </r>
  </si>
  <si>
    <t>Số phát hành GCN: BD 901987
Số vào sổ: CH00760
Ngày cấp: 03/11/2010</t>
  </si>
  <si>
    <t>Năm sinh: 1980</t>
  </si>
  <si>
    <t>CCCD: 07218000613</t>
  </si>
  <si>
    <t>Đ/c: Số 440, đường Bời Lời, khu phố Ninh Trung, phường Ninh Sơn, thành phố Tây Ninh, tỉnh Tây Ninh</t>
  </si>
  <si>
    <t>SĐT: 0908016383</t>
  </si>
  <si>
    <t>Nhà cấp IV. Xây dựng năm 1995, sữa chữa tháng 11/2021 do hộ dân thông tin
Kết cấu: Móng gạch + BTCT, cột gạch + BTCT, tường xây gạch có tô + sơn P, trần tấm nhựa thả, mái lợp tôn, cửa kính cường lực + cửa sắt cuốn, nền gạch men, vệ sinh trong nhà</t>
  </si>
  <si>
    <t>Lê Ngọc DGiàu</t>
  </si>
  <si>
    <t>Số phát hành GCN: BD 901989
Số vào sổ: CH 00759
Ngày cấp: 03/11/2010</t>
  </si>
  <si>
    <t>Năm sinh: 1992</t>
  </si>
  <si>
    <t>CCCD: 072192003744</t>
  </si>
  <si>
    <t>Đ/c: Số 438B, đường Bời Lời, khu phố Ninh Trung, phường Ninh Sơn, thành phố Tây Ninh, tỉnh Tây Ninh</t>
  </si>
  <si>
    <t>SĐT: 0792200592</t>
  </si>
  <si>
    <t>Nhà cấp IV. Xây dựng năm 1995, sữa chữa năm 2000 do hộ dân thông tin
Kết cấu: Móng gạch + BTCT, cột gạch + BTCT, tường xây gạch có tô + sơn P, trần tôn lạnh, mái lợp tôn, cửa kính cường lực + cửa sắt cuốn, nền gạch men, vệ sinh trong nhà</t>
  </si>
  <si>
    <t xml:space="preserve">Mái che. Xây dựng năm 1995 do hộ dân thông tin.
Kết cấu: Khung sắt tiền chế, mái lợp tôn, không vách, nền xi măng.
</t>
  </si>
  <si>
    <t>Năm sinh: 1981</t>
  </si>
  <si>
    <t>CCCD: 072081009339</t>
  </si>
  <si>
    <t>Đ/c: Số 472, đường Bời Lời, khu phố Ninh Trung, phường Ninh Sơn, thành phố Tây Ninh, tỉnh Tây Ninh</t>
  </si>
  <si>
    <t>SĐT: 0963928370</t>
  </si>
  <si>
    <t xml:space="preserve">Mái che. Xây dựng năm 2020, không xin phép  do hộ dân thông tin.
Kết cấu: Khung sắt tiền chế, mái bạt kéo, 02 bên cột sắt ốp gạch ống, 01 bên cột sắt vuông, nền gạch men, không vách.
</t>
  </si>
  <si>
    <t xml:space="preserve">Mái che. Xây dựng năm 2023, không xin phép  do hộ dân thông tin.
Kết cấu: Khung sắt tiền chế, mái lợp lưới lan, 01 bên cột sắt vuông, 01 bên cột sắt xây gạch ống, nền gạch men, không vách.
</t>
  </si>
  <si>
    <t>Hàng rào song sắt, móng xây gạch có tô</t>
  </si>
  <si>
    <t>Cây me 30 năm</t>
  </si>
  <si>
    <t>Trầu bà</t>
  </si>
  <si>
    <t>Chậu kiểng đường kính 120cm</t>
  </si>
  <si>
    <t>Năm sinh: 1974</t>
  </si>
  <si>
    <t>CCCD: 072174005483</t>
  </si>
  <si>
    <t>Đ/c: Số 468B đường Bời Lời, khu phố Ninh Trung, phường Ninh Sơn, thành phố Tây Ninh, tỉnh Tây Ninh</t>
  </si>
  <si>
    <t>SĐT: 0363225669</t>
  </si>
  <si>
    <t>Nhà cấp IV. Xây dựng năm 2010, không xin phép do hộ dân thông tin
Kết cấu: Móng, cột + BTCT, tường xây gạch ống không tô, không sơn P,  trần tấm xốp, mái lợp tôn, cửa khung (sắt + kính), nền xi măng, vệ sinh trong nhà</t>
  </si>
  <si>
    <t>Huỳnh Quốc Thịnh + Nguyễn Thị Ái Vân</t>
  </si>
  <si>
    <t>Thửa đất hiện trạng số 265
(Trích từ thửa đất số 43, tờ BĐĐC số 42)</t>
  </si>
  <si>
    <t>Số phát hành GCN: DN 637052
Số vào sổ: CN 19517
Ngày cấp: 30/01/2024</t>
  </si>
  <si>
    <t>Năm sinh: 1984;1991</t>
  </si>
  <si>
    <t>CCCD: 072084010451; 072191012239</t>
  </si>
  <si>
    <t>Đc: Số 458, đường Bời Lời, khu phố Ninh Trung, phường Ninh Sơn, thành phố Tây Ninh, tỉnh Tây Ninh</t>
  </si>
  <si>
    <t>SĐT: 0907143043</t>
  </si>
  <si>
    <t xml:space="preserve">
Mái che. Xây dựng năm 2003 do hộ dân thông tin.
Kết cấu: Khung sắt tiền chế, mái lợp tôn, không vách, nền bê tông đá (1x2)mm.
</t>
  </si>
  <si>
    <t>Mái bạt kéo (di động)</t>
  </si>
  <si>
    <t>Hàng rào xây tường gạch dày 100mm, tường cao 2,5m, móng xây gạch + bê tông xi măg</t>
  </si>
  <si>
    <t>Nguyễn Thành Tâm</t>
  </si>
  <si>
    <t>Số phát hành GCN: BK 524055
Ngày cấp: 20/8/2012</t>
  </si>
  <si>
    <t>CCCD: 072079008425</t>
  </si>
  <si>
    <t>Đc: Đường Bời Lời, khu phố Ninh Trung, phường Ninh Sơn, thành phố Tây Ninh, tỉnh Tây Ninh</t>
  </si>
  <si>
    <t>SĐT: 0911961616</t>
  </si>
  <si>
    <t xml:space="preserve">
Mái che. Xây dựng năm 2020 do hộ dân thông tin.
Kết cấu: Khung sắt tiền chế, mái bạt kéo, không vách, nền gạch terrazzo.
</t>
  </si>
  <si>
    <t>Ốp đá tường</t>
  </si>
  <si>
    <t xml:space="preserve">Bảng quảng cáo </t>
  </si>
  <si>
    <t>Trụ khung sắt</t>
  </si>
  <si>
    <t>Hàng rào khung sắt</t>
  </si>
  <si>
    <t>Cây đại phú gia</t>
  </si>
  <si>
    <r>
      <t>m</t>
    </r>
    <r>
      <rPr>
        <vertAlign val="superscript"/>
        <sz val="12"/>
        <rFont val="Times New Roman"/>
        <family val="1"/>
        <charset val="163"/>
      </rPr>
      <t>2</t>
    </r>
  </si>
  <si>
    <t>Đ/c: Số 274, đường Trần Phú, khu phố Ninh Thành, phường Ninh Sơn, thành phố Tây Ninh, tỉnh Tây Ninh</t>
  </si>
  <si>
    <t>SĐT: 0388007757</t>
  </si>
  <si>
    <t xml:space="preserve">Tô tường </t>
  </si>
  <si>
    <t>Trần Văn Tiên</t>
  </si>
  <si>
    <t>Thửa đất hiện trạng số 314
(Trích từ thửa đất số 251, tờ BĐĐC số 42)</t>
  </si>
  <si>
    <t>Số phát hành GCN: CY 995508
Số vào sổ: CS12700
Ngày cấp: 8/7/2020</t>
  </si>
  <si>
    <t>Năm sinh: 1985</t>
  </si>
  <si>
    <t>CCCD: 072085017457</t>
  </si>
  <si>
    <t>Đ/c: Số 50, khu phố Ninh Thọ, phường Ninh Sơn, thành phố Tây Ninh, tỉnh Tây Ninh</t>
  </si>
  <si>
    <t>SĐT: 0969079878</t>
  </si>
  <si>
    <t>Nhà cấp IV. Xây dựng năm 2007 (nhà hiện hữu có sẳn) sau khi chuyển nhượng quyền sử dụng đất do hộ dân thông tin
Kết cấu: Móng, cột + BTCT, tường xây gạch ống có tô + sơn P,  trần tôn lạnh, mái lợp tôn, cửa sắt kéo, nền gạch men, vệ sinh trong nhà</t>
  </si>
  <si>
    <t xml:space="preserve">
Mái che. Xây dựng năm 2022 do hộ dân thông tin.
Kết cấu: Khung sắt tiền chế, mái lợp tôn, có vách, nền gạch terrazzo.
</t>
  </si>
  <si>
    <t>Huỳnh Thanh Tú</t>
  </si>
  <si>
    <t>Số phát hành GCN: E 0615557
Số vào sổ: 02051QSDĐ/D3
Ngày cấp: 22/8/2000</t>
  </si>
  <si>
    <t>CCCD: 072063002981</t>
  </si>
  <si>
    <t>Đ/c: Số 450, đường Bời Lời, khu phố Ninh Trung, phường Ninh Sơn, thành phố Tây Ninh, tỉnh Tây Ninh</t>
  </si>
  <si>
    <t>SĐT: 0987850146</t>
  </si>
  <si>
    <t>Nhà cấp IV. Xây dựng năm 1990 do hộ dân thông tin
Kết cấu: Móng, cột + BTCT, tường xây gạch ống có tô + quét vôi,  trần tôn lạnh, mái lợp tôn, cửa cuốn sắt, nền gạch men, vệ sinh trong nhà</t>
  </si>
  <si>
    <t>Nhà cấp IV. Xây dựng năm 1990 do hộ dân thông tin
Kết cấu: Móng, cột + BTCT, tường xây gạch ống có tô, không sơn P,  không trần, mái lợp tôn, cửa sắt kính, nền gạch tàu, vệ sinh trong nhà</t>
  </si>
  <si>
    <t>Cây mít 05 năm</t>
  </si>
  <si>
    <t>Cây xanh đườnh kính 40cm</t>
  </si>
  <si>
    <t>Số phát hành GCN: AA 01360506
Số vào sổ: CN1988
Ngày cấp: 21/4/2025</t>
  </si>
  <si>
    <t>Năm sinh: 1977; 1975</t>
  </si>
  <si>
    <t>CCCD: 072077003767; 072175004309</t>
  </si>
  <si>
    <t>Đ/c: Số 36, đường Bời Lời, khu phố Ninh An, phường Ninh Sơn, thành phố Tây Ninh, tỉnh Tây Ninh</t>
  </si>
  <si>
    <t>SĐT: 0918144012</t>
  </si>
  <si>
    <t>Trương Đình cử</t>
  </si>
  <si>
    <t>Số phát hành GCN: I 871511
Ngày cấp: 1/12/1997</t>
  </si>
  <si>
    <t>Năm sinh: 1940</t>
  </si>
  <si>
    <t>CCCD: 072040000294</t>
  </si>
  <si>
    <t>Đ/c: Số 468, đường Bời Lời, khu phố Ninh Trung, phường Ninh Sơn, thành phố Tây Ninh, tỉnh Tây Ninh</t>
  </si>
  <si>
    <t>SĐT: 0976441957</t>
  </si>
  <si>
    <t>Nhà cấp IV. Xây dựng năm 2018, không phép, do hộ dân thông tin
Kết cấu: Móng gạch, cột gạch, tường xây gạch có tô 01 mặt + sơn P,  trần tấm nhựa thả, mái lợp tôn, cửa sắt cuốn, nền gạch men, vệ sinh trong nhà</t>
  </si>
  <si>
    <t xml:space="preserve">
Mái che. Xây dựng năm 2018 do hộ dân thông tin.
Kết cấu: Khung sắt tiền chế, mái lợp tôn, không vách, nền xi măng.
</t>
  </si>
  <si>
    <t>Hàng rào xây gạch cao 2m (có tô 0,4m, không tô 1,6m), tô 01 mặt, dày 10cm, móng xây gạch</t>
  </si>
  <si>
    <t>Chậu kiểng đường kính 10cm</t>
  </si>
  <si>
    <t>Chậu nhựa</t>
  </si>
  <si>
    <t>Cây chuông vàng đường kính 10cm</t>
  </si>
  <si>
    <t>Cây chuông vàng đường kính 05cm</t>
  </si>
  <si>
    <t>Cây phát tài cao trên 2m</t>
  </si>
  <si>
    <t xml:space="preserve">
Mái che. Xây dựng năm 2023 do hộ dân thông tin.
Kết cấu: Khung sắt tiền chế, mái bạt + lưới lan, không vách, nền xi măng.
</t>
  </si>
  <si>
    <r>
      <t>m</t>
    </r>
    <r>
      <rPr>
        <vertAlign val="superscript"/>
        <sz val="12"/>
        <rFont val="Times New Roman"/>
        <family val="1"/>
      </rPr>
      <t>3</t>
    </r>
    <r>
      <rPr>
        <sz val="12"/>
        <color theme="1"/>
        <rFont val="Times New Roman"/>
        <family val="2"/>
        <charset val="163"/>
      </rPr>
      <t/>
    </r>
  </si>
  <si>
    <t>Nguyễn Quốc Ái
Nguyễn Thị Thu Sương</t>
  </si>
  <si>
    <t>Thửa đất hiện trạng số 174
(Trích từ thửa đất số 288, tờ BĐĐC số 36)</t>
  </si>
  <si>
    <t>Số phát hành GCN: CY 492520
Số vào sổ: CS13347
Ngày cấp: 04/11/2020</t>
  </si>
  <si>
    <t>Năm sinh: 1966
Năm sinh: 1966</t>
  </si>
  <si>
    <t>CCCD: 052066000334
CCCD: 072166003487</t>
  </si>
  <si>
    <t>Đc:  đường Bời Lời, khu phố Ninh Trung, phường Ninh Sơn, thành phố Tây Ninh, tỉnh Tây Ninh</t>
  </si>
  <si>
    <t>Mái che khung sắt tiền chế: Mái tôn, không vách, nền xi măng (xây dựng năm 1998)</t>
  </si>
  <si>
    <t>Huỳnh Thị Thiên Nga</t>
  </si>
  <si>
    <t>Số phát hành GCN: 
Số vào sổ: 05958/QSDĐ/08/QĐ.UB
Ngày cấp: 09/1/2001</t>
  </si>
  <si>
    <t>Đc: 388 đường Bời Lời, khu phố Ninh Trung, phường Ninh Sơn, thành phố Tây Ninh, tỉnh Tây Ninh</t>
  </si>
  <si>
    <t>Mái che khung gỗ: cộ sắt + trụ bê tông đúc sẵn, mái lợp tôn, không vách, nền xi măng (xây dựng năm 1995)</t>
  </si>
  <si>
    <t>Trụ BTCT</t>
  </si>
  <si>
    <t>Trần Thanh Nhã
Huỳnh Thị Thiên Nga</t>
  </si>
  <si>
    <t>Số phát hành GCN: DQ 348113
Số vào sổ: VP 20680
Ngày cấp: 24/9/2024</t>
  </si>
  <si>
    <t>Năm sinh: 1969
Năm sinh: 1971</t>
  </si>
  <si>
    <t>Thửa đất hiện trạng số 152
(Trích từ thửa đất số 347, tờ BĐĐC số 02)</t>
  </si>
  <si>
    <t>CCCD: 072184009322</t>
  </si>
  <si>
    <t>Mái che khung sắt tiền chế: Mái lợp tôn, cột cây + trụ xi măng, không vách, nền xi măng</t>
  </si>
  <si>
    <t>Đc: 52A đường số 2, đường Trần Phú khu phố Ninh Trung, phường Ninh Sơn, thành phố Tây Ninh, tỉnh Tây Ninh. ĐT: 0828036967</t>
  </si>
  <si>
    <t>Các đồng thừa kế của ông Thái Minh Xuân</t>
  </si>
  <si>
    <t>Số phát hành GCN: E0615651
Số vào sổ:
Ngày cấp: 12/8/1995</t>
  </si>
  <si>
    <t>Đc: 470 đường Bời Lời, khu phố Ninh Trung, phường Ninh Sơn, thành phố Tây Ninh, tỉnh Tây Ninh</t>
  </si>
  <si>
    <t>Phan Vân Hạc
Phan Thị Hạnh</t>
  </si>
  <si>
    <t>Thửa đất hiện trạng số 164
(Trích từ thửa đất số 283, tờ BĐĐC số 36)</t>
  </si>
  <si>
    <t>Số phát hành GCN: AĐ 880863
Số vào sổ:
Ngày cấp: 24/01/2007</t>
  </si>
  <si>
    <t>Năm sinh: 1964
Năm sinh: 1963</t>
  </si>
  <si>
    <t>CCCD: 072064002021
CCCD: 072163001908</t>
  </si>
  <si>
    <t>Đc: 384 đường Bời Lời, khu phố Ninh Trung, phường Ninh Sơn, thành phố Tây Ninh, tỉnh Tây Ninh</t>
  </si>
  <si>
    <t>Nhà cấp 4: xây dựng năm 1993 không có giấy phép xây dựng
Kết cấu: Móng gạch + BTCT, cột gạch + BTCT, mái lợp tôn, trần tôn lạnh, nên xi măng, tường xây gạch có tô sơn P cửa sắt kính, không có phòng vệ sinh bên trong</t>
  </si>
  <si>
    <t>Mái che khung sắt tiền chế: Mái tôn, không vách, nền xi măng</t>
  </si>
  <si>
    <t>Thái Hữu Học</t>
  </si>
  <si>
    <t>Thửa đất hiện trạng số 151
(Trích từ thửa đất số 348, tờ BĐĐC số 2)</t>
  </si>
  <si>
    <t>Số phát hành GCN: E 0615231
Số vào sổ:
Ngày cấp: 12/8/1995</t>
  </si>
  <si>
    <t>Năm sinh: 1952</t>
  </si>
  <si>
    <t>CCCD: 052052007380</t>
  </si>
  <si>
    <t>Đc: 378 đường Bời Lời, khu phố Ninh Trung, phường Ninh Sơn, thành phố Tây Ninh, tỉnh Tây Ninh</t>
  </si>
  <si>
    <t>ĐT: 0916335529</t>
  </si>
  <si>
    <r>
      <t xml:space="preserve">Mái che khung sắt tiền chế: Mái tôn, </t>
    </r>
    <r>
      <rPr>
        <sz val="12"/>
        <rFont val="Times New Roman"/>
        <family val="1"/>
      </rPr>
      <t>không vách, nền xi măng (xây dựng năm …..)</t>
    </r>
  </si>
  <si>
    <t>Thái Công
Nguyễn Thị Liên</t>
  </si>
  <si>
    <t>Thửa đất hiện trạng số 139
(Trích từ thửa đất số 630 tờ BĐĐC số 36)</t>
  </si>
  <si>
    <t>Số phát hành GCN: CH 088368
Số vào sổ: CS 06971
Ngày cấp: 11/4/2017</t>
  </si>
  <si>
    <t>Năm sinh: 1970
Năm sinh: 1971</t>
  </si>
  <si>
    <t>Thửa đất hiện trạng số 369
(Trích từ thửa đất số 720 tờ BĐĐC số 36)</t>
  </si>
  <si>
    <t>Số phát hành GCN: CR 217245
Số vào sổ: Cs 10888
Ngày cấp: 12/6/2019</t>
  </si>
  <si>
    <t>CCCD: 072070009525
CCCD: 072171007945</t>
  </si>
  <si>
    <t>Đc: 454 khu phố Ninh Trung, phường Ninh Sơn, thành phố Tây Ninh, tỉnh Tây Ninh</t>
  </si>
  <si>
    <r>
      <t xml:space="preserve">Mái che khung sắt tiền chế: Mái tôn, </t>
    </r>
    <r>
      <rPr>
        <sz val="12"/>
        <rFont val="Times New Roman"/>
        <family val="1"/>
      </rPr>
      <t>vách tôn + lưới B40, nền gạch têzzarro (xây dựng năm 2016)</t>
    </r>
  </si>
  <si>
    <t>Nguyễn Nộ
Trần Thị Phúc</t>
  </si>
  <si>
    <t>Thửa đất hiện trạng số 145
(Trích từ thửa đất số 742 tờ BĐĐC số 36)</t>
  </si>
  <si>
    <t>Số phát hành GCN: DI 477330
Số vào sổ: CS 17594
Ngày cấp: 15/12/2022</t>
  </si>
  <si>
    <t>Năm sinh: 1945
Năm sinh: 1950</t>
  </si>
  <si>
    <t>CCCD: 052045002238
CCCD: 052150003157</t>
  </si>
  <si>
    <t>Đc: 366 đường Bời Lời khu phố Ninh Trung, phường Ninh Sơn, thành phố Tây Ninh, tỉnh Tây Ninh</t>
  </si>
  <si>
    <t>Nhà cấp 4 xâu dựng năm 1999 không có giấy phép xây dựng
Kết cấu: Móng gạch + BTCT, cột gạch +BTCT, tường xây gạch có tô sơn P, nhà mái bằng sàn BTCT, nền gạch bông, cửa sắt kính, có phòng vệ sinh bên trong</t>
  </si>
  <si>
    <t>Nền gạch tàu</t>
  </si>
  <si>
    <t>Cây nguyệt quế đường kính 5cm</t>
  </si>
  <si>
    <t>Nguyễn Thành Công</t>
  </si>
  <si>
    <t>Thửa đất hiện trạng số 165
(Trích từ thửa đất số 284 tờ BĐĐC số 36)</t>
  </si>
  <si>
    <t>Số phát hành GCN: AK 690590
Số vào sổ: H03125
Ngày cấp: 28/8/2007</t>
  </si>
  <si>
    <t>Năm sinh: 1944</t>
  </si>
  <si>
    <t>CCCD: 052044000328</t>
  </si>
  <si>
    <t>Đc: 21 đường Lê Lợi, thôn Gia Chiểu 2, trhij trấn Tăng Bạt Hổ, huyện Hoài An, tỉnh Bình Định</t>
  </si>
  <si>
    <t>ĐT: 0943460845 (a Tạo)</t>
  </si>
  <si>
    <t>Nhà cấp 4 xâu dựng năm 2007 không có giấy phép xây dựng
Kết cấu: Móng gạch + BTCT, cột gạch +BTCT, tường xây gạch có tô quét vôi, mái lợp tôn, trần tôn lạnh, nền gạch men, có phòng vệ sinh bên trong</t>
  </si>
  <si>
    <t>Mái che khung gỗ: Mai tôn, có 1 vách tường xây tô + ốp gạch men, nền gạch men</t>
  </si>
  <si>
    <t>Võ Quang Tạo
Trần Văn Huệ</t>
  </si>
  <si>
    <t>Thửa đất hiện trạng số 130
(Trích từ thửa đất số 260 tờ BĐĐC số 36)</t>
  </si>
  <si>
    <t>Số phát hành GCN: DH 537194
Số vào sổ: CS17329
Ngày cấp: 24/10/2022</t>
  </si>
  <si>
    <t>Năm sinh: 1981
Năm sinh: 1979</t>
  </si>
  <si>
    <t>CCCD: 072081001275
CCCD: 072079004603</t>
  </si>
  <si>
    <t>Đc: 62 đường Bời Lời khu phố Ninh Lộc, phường Ninh Sơn, thành phố Tây Ninh, tỉnh Tây Ninh</t>
  </si>
  <si>
    <t>ĐT: 0888754408 (A Quảng Trường con chú Công)</t>
  </si>
  <si>
    <t>Nhà cấp 4 xâu dựng năm 2006 không có giấy phép xây dựng
Kết cấu: Móng gạch + BTCT, cột gạch +BTCT, tường xây gạch có tô sơn P, mái lợp tôn, trần tôn lạnh, nền gạch men, cửa sắt kính,có phòng vệ sinh bên trong</t>
  </si>
  <si>
    <t>Trần Thị Xuân Hương</t>
  </si>
  <si>
    <t>Thửa đất hiện trạng số 131
(Trích từ thửa đất số 648 tờ BĐĐC số 36)</t>
  </si>
  <si>
    <t>Số phát hành GCN: DA 015893
Số vào sổ: CS 13644
Ngày cấp: 28/12/2020</t>
  </si>
  <si>
    <t>CCCD: 072189000077</t>
  </si>
  <si>
    <t>Đc: 595 đường Bời Lời khu phố Ninh Thọ, phường Ninh Sơn, thành phố Tây Ninh, tỉnh Tây Ninh</t>
  </si>
  <si>
    <t>ĐT: 0907616170</t>
  </si>
  <si>
    <t>Mái che khung sắt tiền chế: Mái tôn, không vách, nền xi măng (xây dựng năm 2017)</t>
  </si>
  <si>
    <t>Tô trụ xây gạch</t>
  </si>
  <si>
    <t>Thửa đất hiện trạng số 19
(Trích từ thửa đất số 123 tờ BĐĐC số 37)</t>
  </si>
  <si>
    <t>Số phát hành GCN: BS 824450
Số vào sổ: CH 03322
Ngày cấp: 20/3/2014</t>
  </si>
  <si>
    <t>CCCD: 072085014125</t>
  </si>
  <si>
    <t>Đc: 507 đường Bời Lời khu phố Ninh Thọ, phường Ninh Sơn, thành phố Tây Ninh, tỉnh Tây Ninh</t>
  </si>
  <si>
    <t>ĐT: 0918023512 (Chú Tuấn)</t>
  </si>
  <si>
    <t>Hàng rào xây gạch cao 1,95 dày 100mm trụ xây gạch, móng bê tông (tô tường 1 mặt)</t>
  </si>
  <si>
    <t>Nền gạch tàu (xây dựng năm 1999)</t>
  </si>
  <si>
    <t>Giếng thấm sâu 2 m( đặt 04 ống công đường kính 100cm cao 0,5m)</t>
  </si>
  <si>
    <t>Trần Quốc Nguyên</t>
  </si>
  <si>
    <t>Thửa đất hiện trạng số 7
(Trích từ thửa đất số 82 tờ BĐĐC số 37)</t>
  </si>
  <si>
    <t>Số phát hành GCN: BE 468691
Số vào sổ: CH 02073
Ngày cấp: 01/6/2012</t>
  </si>
  <si>
    <t>Năm sinh: 1986</t>
  </si>
  <si>
    <t>CCCD: 07208600424</t>
  </si>
  <si>
    <t>Đc: 278 đường Bời Lời khu phố Ninh Trung, phường Ninh Sơn, thành phố Tây Ninh, tỉnh Tây Ninh</t>
  </si>
  <si>
    <t>Mái che khung sắt tiền chế: Mái tôn, có 1 vách tôn, nền gạch Tezzarro + bê tông</t>
  </si>
  <si>
    <t>Nguyễn Thị Diễm Trang</t>
  </si>
  <si>
    <t>Số phát hành GCN: CR 217641
Số vào sổ: CS 10952
Ngày cấp: 13/6/2019</t>
  </si>
  <si>
    <t>CCCD: 072180003066</t>
  </si>
  <si>
    <t>Đc: Ấp 5, xã Suối Dây, huyên Tân Châu, tỉnh Tây Ninh.
 ĐT: 0942113663</t>
  </si>
  <si>
    <t>CCCD: 072085015992</t>
  </si>
  <si>
    <t>Mái che khung sắt tiền chế: Mái tôn, có 1 vách, nền xi măng</t>
  </si>
  <si>
    <t xml:space="preserve">Đ/c: </t>
  </si>
  <si>
    <t xml:space="preserve">Ống cống nước BTCT </t>
  </si>
  <si>
    <t>Võ Thị Ngọc Xuân</t>
  </si>
  <si>
    <t>Thửa đất hiện trạng số 185
(Trích từ thửa đất số 295 tờ BĐĐC số 36)</t>
  </si>
  <si>
    <t>Năm sinh: 1955</t>
  </si>
  <si>
    <t>CCCD: 051155010713</t>
  </si>
  <si>
    <t>Đ/c: Số 4 khu phố Ninh Trung, phường Ninh Sơn, thành phố Tây Ninh, tỉnh Tây Ninh</t>
  </si>
  <si>
    <t>Nhà cấp 4: xây dựng năm 1996 không có giấy phép xây dựng
Kết cấu: Móng gach, cột gạch + BTCT, tường xây gạch có tô quét vôi, mái BTCT, nền gạch men, cửa sắt cuốn + sắt kính, có phòng vệ sinh bên trong</t>
  </si>
  <si>
    <t>Hồ Văn Chọn</t>
  </si>
  <si>
    <t>Thửa đất hiện trạng số 127
(Trích từ thửa đất số 315 tờ BĐĐC số 43)</t>
  </si>
  <si>
    <t>Số phát hành GCN: DO 902492
Số vào sổ: CN19677
Ngày cấp: 25/3/2024</t>
  </si>
  <si>
    <t>CCCD: 052160006704</t>
  </si>
  <si>
    <t>Đ/c: Số 46T, Đường số 55 khu phố Ninh An, phường Ninh Sơn, thành phố Tây Ninh, tỉnh Tây Ninh. 
ĐT: 0375268734</t>
  </si>
  <si>
    <t>Nguyễn Trần Du
Phùng Thị Nhung</t>
  </si>
  <si>
    <t>Thửa đất hiện trạng số 126
(Trích từ thửa đất số 348 tờ BĐĐC số 36)</t>
  </si>
  <si>
    <t>Số phát hành GCN: AD 906004
Số vào sổ: H01451
Ngày cấp: 21/03/2006</t>
  </si>
  <si>
    <t>Năm sinh: 1968
Năm sinh: 1970</t>
  </si>
  <si>
    <t xml:space="preserve">CCCD: 072068005619
CCCD: </t>
  </si>
  <si>
    <t>Đ/c: Số 20 đường Trần Phú khu phố Ninh Trung, phường Ninh Sơn, thành phố Tây Ninh, tỉnh Tây Ninh. 
ĐT: 0834445452</t>
  </si>
  <si>
    <t>Sinh năm 1945</t>
  </si>
  <si>
    <t xml:space="preserve">Đ/c: đường Bời Lời, khu phố Ninh Trung, phường Ninh Sơn, thành phố Tây Ninh, tỉnh Tây Ninh. </t>
  </si>
  <si>
    <t>Đất tranh chấp có Quyết định của thi hành án</t>
  </si>
  <si>
    <t>Đỗ Thị Cúc</t>
  </si>
  <si>
    <t>Sinh năm 1955</t>
  </si>
  <si>
    <t>Đ/c: 47A Hoàng Văn Thụ, phường Quyết Thắng, thĩ xã Kon Tum, tỉnh Kon Tum</t>
  </si>
  <si>
    <t>Nguyễn Kim Long
Trần Thị Cận</t>
  </si>
  <si>
    <t>Thửa đất hiện trạng số 252
(Trích từ thửa đất số 40 tờ BĐĐC số 42)</t>
  </si>
  <si>
    <t>Số phát hành GCN:  DL 987139
Số vào sổ: VP18450
Ngày cấp: 12/6/2023</t>
  </si>
  <si>
    <t>Sinh năm 1958
Sinh năm 1953</t>
  </si>
  <si>
    <t>CCCD: 072058000272
CCCD: 052153000172</t>
  </si>
  <si>
    <t>ĐT: 09335811797</t>
  </si>
  <si>
    <t>Nhà cấp 4: Xây dựng năm 1988 không có giấy phép xây dựng
Kết cấu: Móng gạch + BTCT, cột gạch + BTCT, tường xây gạch ống có tô quét vôi, mái lợp tôn, không đóng trần, nền gạch tàu, không có phòng vệ sinh bên trong</t>
  </si>
  <si>
    <t>Số phát hành GCN:  
Số vào sổ: 
Ngày cấp: 29/9/2005</t>
  </si>
  <si>
    <t>Mái che khung sắt tiền chế: Mái tôn, không vách, nền gạch men (xây dựng năm 2016)</t>
  </si>
  <si>
    <t>Hàng rào song sắt móng xây gạch + BTCT có tô sơn P</t>
  </si>
  <si>
    <t>Võ Văn Thanh
Nguyễn Thị Hoa</t>
  </si>
  <si>
    <t>Thửa đất hiện trạng số 233
(Trích từ thửa đất số 62 tờ BĐĐC số 43)</t>
  </si>
  <si>
    <t>Số phát hành GCN:  BV 049644
Số vào sổ: CH04476
Ngày cấp: 31/3/2015</t>
  </si>
  <si>
    <t>Sinh năm 1971
Sinh năm 1975</t>
  </si>
  <si>
    <t>Thửa đất hiện trạng số 234
(Trích từ thửa đất số 63 tờ BĐĐC số 43)</t>
  </si>
  <si>
    <t>Số phát hành GCN:  CV670775
Số vào sổ: CS13121
Ngày cấp: 21/9/2020</t>
  </si>
  <si>
    <t>CCCD: 072071006089
CCCD: 072175008317</t>
  </si>
  <si>
    <t xml:space="preserve">Đ/c: 6/1 khu phố Ninh Lộc, phường Ninh Sơn, thành phố Tây Ninh, tỉnh Tây Ninh. </t>
  </si>
  <si>
    <t>ĐT: 0983931040</t>
  </si>
  <si>
    <t>Nhà cấp 3: (1 trệt, 1 lầu) Xây dựng năm 1990 không có giấy phép xây dụng
Kết cấu: Móng, khung, cột, đà, sàn BTCT, tường xây gạch có tô sơn P, mái lợp tôn, trần tấm nhựa thả, nền gạch men, cửa săt kính, có phòng vệ sinh bên trong</t>
  </si>
  <si>
    <t>Mái che khung sắt tiền chế: Mái tôn, không vách, nền xi măng (xây dựng năm 2022)</t>
  </si>
  <si>
    <t>Mái che khung sắt tiền chế: Mái tôn, không vách, nền bê tông (xây dựng năm 2022)</t>
  </si>
  <si>
    <t>Các đồng thừa kế của ông Đỗ Văn Tú</t>
  </si>
  <si>
    <t xml:space="preserve">Đ/c: 420 đường Bời Lời, khu phố Ninh Trung, phường Ninh Sơn, thành phố Tây Ninh, tỉnh Tây Ninh. </t>
  </si>
  <si>
    <t>ĐT: 0965003724 (chị Phúc)</t>
  </si>
  <si>
    <t>Sinh năm 1967</t>
  </si>
  <si>
    <t>CCCD: 052067010835</t>
  </si>
  <si>
    <t xml:space="preserve">Đ/c: 418 đường Bời Lời, khu phố Ninh Trung, phường Ninh Sơn, thành phố Tây Ninh, tỉnh Tây Ninh. </t>
  </si>
  <si>
    <t>Mái che khung sắt tiền chế: Mái tôn, không vách, nền xi măng (xây dựng năm 2002)</t>
  </si>
  <si>
    <t>ĐT: 0901652382</t>
  </si>
  <si>
    <t>Sinh năm 1968</t>
  </si>
  <si>
    <t>CCCD: 072068011603</t>
  </si>
  <si>
    <t>Nhà cấp 4: Xây dựng năm 2002 không có giấy phép xây dựng
Kết cấu: Móng gạch + BTCT, cột gạch + BTCT, tường xây gạch 1 vách có tô, mái lợp tôn, không đóng trần, nền xi măng, cửa kéo xếp, không có phòng vệ sinh bên trong</t>
  </si>
  <si>
    <t xml:space="preserve">Đ/c: 422 đường Bời Lời, khu phố Ninh Trung, phường Ninh Sơn, thành phố Tây Ninh, tỉnh Tây Ninh. </t>
  </si>
  <si>
    <t>Sinh năm 1987</t>
  </si>
  <si>
    <t>CCCD: 072087002256</t>
  </si>
  <si>
    <t>Nhà cấp 4: Xây dựng năm 2002 không có giấy phép xây dựng
Kết cấu: Móng gạch + BTCT, cột gạch + BTCT, tường xây gạch có tô sơn P (1 vách), mái lợp tôn, trần alu, nền xi măng, cửa sắt kính, có phòng vệ sinh bên trong</t>
  </si>
  <si>
    <t xml:space="preserve">ĐT: 0902881108 </t>
  </si>
  <si>
    <t>Sinh năm 1975</t>
  </si>
  <si>
    <t>CCCD: 072175002500</t>
  </si>
  <si>
    <t>Nhà cấp 4: Xây dựng năm 2002 không có giấy phép xây dựng
Kết cấu: Móng gạch + BTCT, cột gạch + BTCT, tường xây gạch có tô sơn P, mái lợp tôn, trần tôn lạnh, nền lát gach men, cửa kính + khung nhôm kính, có phòng vệ sinh bên trong</t>
  </si>
  <si>
    <t>Lê Mộng Tâm Hùng</t>
  </si>
  <si>
    <t>Thửa đất hiện trạng số 111
(Trích từ thửa đất số 262 tờ BĐĐC số 36)</t>
  </si>
  <si>
    <t>Số phát hành GCN:  AD 906130
Số vào sổ: H01423
Ngày cấp: 20/3/2006</t>
  </si>
  <si>
    <t>CCCD: 072067002531</t>
  </si>
  <si>
    <t xml:space="preserve">Đ/c: 358 đường Bời Lời, khu phố Ninh Trung, phường Ninh Sơn, thành phố Tây Ninh, tỉnh Tây Ninh. </t>
  </si>
  <si>
    <t>ĐT: 0918661488</t>
  </si>
  <si>
    <t>Nhà cấp 3 (nhà 2 tầng: 1 trêt, 1 lầu): Xây dựng năm 1990 không có giấy phép xây dựng, năm 1990 nhận chuyển chượng QSDĐ dến năm 2006 lập thủ tục cấp giấy CNQSDĐ)
Kết cấu: Móng, khung, cột, đà BTCT, tường xây gạch ống có sơn P, tần tôn lạnh, sàn gỗ + sàn BTCT, cửa sắt kính + cửa kéo xếp, có phòng vệ sinh bên trong (xây dựng năm 1990, năm 2020 sữa chữa, cải tạo lại)</t>
  </si>
  <si>
    <t>Tầng trệt</t>
  </si>
  <si>
    <t>Tầng lầu gồm:</t>
  </si>
  <si>
    <t>Sàn gỗ</t>
  </si>
  <si>
    <t>Sàn BTCT</t>
  </si>
  <si>
    <t>Mái che khung sắt tiền chế: Mái tôn, không vách, nền gạch men (xây dựng năm 1990, năm 2020 có sơn và thay mái tôn mới)</t>
  </si>
  <si>
    <t>Ống nhựa Bình Minh đường kính 114mm</t>
  </si>
  <si>
    <t>Thửa đất hiện trạng số 205
(Trích từ thửa đất số 42 tờ BĐĐC số 43)</t>
  </si>
  <si>
    <t>Số phát hành GCN: AĐ 398005
Số vào sổ: H02492
Ngày cấp: 08/12/2006</t>
  </si>
  <si>
    <t xml:space="preserve">Đ/c: khu phố Ninh Trung, phường Ninh Sơn, thành phố Tây Ninh, tỉnh Tây Ninh. </t>
  </si>
  <si>
    <t>ĐT:0974646717</t>
  </si>
  <si>
    <t>Huỳnh Thị Phượng</t>
  </si>
  <si>
    <t>Thửa đất hiện trạng số 204
(Trích từ thửa đất số 41 tờ BĐĐC số 43)</t>
  </si>
  <si>
    <t>Số phát hành GCN: PQ 810440
Số vào sổ: CN21101
Ngày cấp:10/12/2024</t>
  </si>
  <si>
    <t>Sinh năm 1956</t>
  </si>
  <si>
    <t>CCCD: 072156001767</t>
  </si>
  <si>
    <t>Thửa đất hiện trạng số 257
(Trích từ thửa đất số 317 tờ BĐĐC số 43)</t>
  </si>
  <si>
    <t>Số phát hành GCN: BD 901992
Số vào sổ: CH00777
Ngày cấp:12/11/2010</t>
  </si>
  <si>
    <t>Sinh năm 1986</t>
  </si>
  <si>
    <t>CCCD: 072186003110</t>
  </si>
  <si>
    <t xml:space="preserve">Đ/c: 438C đường Bời Lời khu phố Ninh Trung, phường Ninh Sơn, thành phố Tây Ninh, tỉnh Tây Ninh. </t>
  </si>
  <si>
    <t>ĐT: 0357246809</t>
  </si>
  <si>
    <t>Mái che khúng sắt tiền chế: Mái tôn, không vách, nền xi măng</t>
  </si>
  <si>
    <t>Nguyễn Thị Khá</t>
  </si>
  <si>
    <t>Sinh năm 1943</t>
  </si>
  <si>
    <t>CCCD: 052143004612</t>
  </si>
  <si>
    <t xml:space="preserve">Đ/c: 475 khu phố Ninh An, phường Ninh Sơn, thành phố Tây Ninh, tỉnh Tây Ninh. </t>
  </si>
  <si>
    <t>ĐT: 0909244139</t>
  </si>
  <si>
    <t>Nhà cấp 4: Xây dựng năm 2000 sửa chữa năm 2015 không có giấy phép xây dựng
Kết cấu: Móng gạch + BTCT, cột gạch + BTCT, tường xây gạch có tô sơn P, mái tôn, trần tấm nhựa thả, cửa sắt kính, nền gạch men, không có phòng vệ sinh bên trong</t>
  </si>
  <si>
    <t>cai</t>
  </si>
  <si>
    <t>Trịnh Ngọc Canh</t>
  </si>
  <si>
    <t>Số phát hành GCN: S 231951
Ngày cấp: 13/6/2001</t>
  </si>
  <si>
    <t>Năm sinh: 1961</t>
  </si>
  <si>
    <t>CCCD: 052061006538</t>
  </si>
  <si>
    <t>Đ/c: Số 426, đường Bời Lời, khu phố Ninh Trung, phường Ninh Sơn, thành phố Tây Ninh, tỉnh Tây Ninh</t>
  </si>
  <si>
    <t>SĐT: 0974626811</t>
  </si>
  <si>
    <t>Hàng rào song sắt, móng hạch + BTCT cao 0,5m, ốp đá chẻ</t>
  </si>
  <si>
    <t>Chậu kiểng đường kính 1cm</t>
  </si>
  <si>
    <t>Đỗ Thị Hồng</t>
  </si>
  <si>
    <t>Thửa đất hiện trạng số 191
(Trích từ thửa đất số 0461, tờ BĐĐC số 03)</t>
  </si>
  <si>
    <t>CCCD: 072166000464</t>
  </si>
  <si>
    <t>Đ/c: Số 16, đường Huỳnh Văn Thanh, khu phố Ninh Trung, phường Ninh Sơn, thành phố Tây Ninh, tỉnh Tây Ninh</t>
  </si>
  <si>
    <t>SĐT: 0843431177</t>
  </si>
  <si>
    <t xml:space="preserve">
Mái che. Xây dựng năm do hộ dân thông tin.
Kết cấu: Khung sắt tiền chế, mái lợp tôn, cột bê tông xi măng, trần tấm nhựa thả, không vách, nền xi măng.
</t>
  </si>
  <si>
    <t>Thửa đất hiện trạng số 87
(Trích từ thửa đất số 393, tờ BĐĐC số 02)</t>
  </si>
  <si>
    <t>Số phát hành GCN: H 090274
Ngày cấp: 29/1/1997</t>
  </si>
  <si>
    <t>Năm sinh: 1958</t>
  </si>
  <si>
    <t>Đ/c: khu phố Ninh Trung, phường Ninh Sơn, thành phố Tây Ninh, tỉnh Tây Ninh</t>
  </si>
  <si>
    <t>SĐT: 0974646717</t>
  </si>
  <si>
    <t>Mái che khung sắt tiền chế: mái tôn, vách tôn, nền xi măng (xây dựng năm 2019) 
Diện tích ảnh hưởng = 0,3m x 1,5m</t>
  </si>
  <si>
    <t>Mai che khung sắt tiền chế, 01 vách, nền gạch men, mái lợp tôn (xây dựng năm 2000)</t>
  </si>
  <si>
    <t>Thửa đất hiện trạng số 34
(Trích từ thửa đất số 116, tờ BĐĐC số 37)</t>
  </si>
  <si>
    <t>Thửa đất hiện trạng số 274
(Trích từ thửa đất số 361, tờ BĐĐC số 4)</t>
  </si>
  <si>
    <t>Thửa đất hiện trạng số 02
(Trích từ thửa đất số 287, tờ BĐĐC số 02)</t>
  </si>
  <si>
    <t>bồi thường 100%</t>
  </si>
  <si>
    <t>Nhà cấp IV: Xây dựng năm 1999, không bị ảnh  hưởng hết nhịp chỉ ảnh hưởng mặt dựng 0,1m.Từ mặt dựng ra sê nô</t>
  </si>
  <si>
    <t>Thửa đất hiện trạng số 295
(Trích từ thửa đất số  237, tờ BĐĐC số 42)</t>
  </si>
  <si>
    <t>DT tính hết nhịp cột 7,375m2
Không bồi thường</t>
  </si>
  <si>
    <t>Thửa đất hiện trạng số 137
(Trích từ thửa đất số 827, tờ BĐĐC số 43)</t>
  </si>
  <si>
    <t>Trần Thị Ngà và
Các đồng thừa kế của ông Phạm Văn Ấn</t>
  </si>
  <si>
    <t>Thửa đất hiện trạng số 138
(Trích từ thửa đất số 574, tờ BĐĐC số 43)</t>
  </si>
  <si>
    <t>Thửa đất hiện trạng số 327
(Trích từ thửa đất số  143  ,tờ BĐĐC số 42   )</t>
  </si>
  <si>
    <t>Số phát hành GCN: DM 537941
Số vào sổ: 
Ngày cấp: 23/11/2023</t>
  </si>
  <si>
    <t>Nhà cấp III: xây dựng năm 2002 có giấy chứng nhận sở hữu nhà ở (nhà 1 trệt 1 lầu)
Kết cấu: Móng khung cột đà sàn BTCT, tường xây gạch tô sơn P, mái lợp tôn, trần tấm nhựa thả, nền gạch men, cửa sắt cuốn tầng trệt, cửa sắt kính tầng lầu, có hệ thống vệ sinh bên trong</t>
  </si>
  <si>
    <t>Thửa đất hiện trạng số 56
(Trích từ thửa đất số 93, tờ BĐĐC số 37)</t>
  </si>
  <si>
    <t>Số phát hành GCN: DL 987916
Số vào sổ:
Ngày cấp:028/6/2023</t>
  </si>
  <si>
    <t>Thửa đất hiện trạng số 244
(Trích từ thửa đất số 30, tờ BĐĐC số 4)</t>
  </si>
  <si>
    <t>Thửa đất hiện trạng số 260
(Trích từ thửa đất số 136, tờ BĐĐC số 43)</t>
  </si>
  <si>
    <t>Thửa đất hiện trạng số 306,308
(Trích từ thửa đất số  425  , tờ BĐĐC số 42)</t>
  </si>
  <si>
    <t>Thửa đất hiện trạng số 307
(Trích từ thửa đất số 79, tờ BĐĐC số 42)</t>
  </si>
  <si>
    <t>Số phát hành GCN: CT 275267
Số vào sổ: 
Ngày cấp: 28/11/2019</t>
  </si>
  <si>
    <t>Số phát hành GCN: CU 646117
Số vào sổ: 
Ngày cấp: 31/12/2019</t>
  </si>
  <si>
    <t>Đất thương mại dịch vụ tiếp giáp đường Bời Lời</t>
  </si>
  <si>
    <t>Thửa đất hiện trạng số 13
(Trích từ thửa đất số 77, tờ BĐĐC số 37)</t>
  </si>
  <si>
    <t>Số phát hành GCN: CI 690870
Số vào sổ:
Ngày cấp: 28/10/2010</t>
  </si>
  <si>
    <t>Trần Viết Cường
Lê Thị Thúy An</t>
  </si>
  <si>
    <t>Xây dựng trên đất của bà Trần Thị Bảy (đất ODT)</t>
  </si>
  <si>
    <t xml:space="preserve">Thửa đất hiện trạng số  30
(Trích từ thửa đất số 392 , tờ BĐĐC số 37 </t>
  </si>
  <si>
    <t>Số phát hành GCN: BE 468320
Số vào sổ: 
Ngày cấp: 15/5/2012</t>
  </si>
  <si>
    <t>Thửa đất hiện trạng số 336
(Trích từ thửa đất số 787, tờ BĐĐC số 41)</t>
  </si>
  <si>
    <t>DT tính đến nhịp cột 16,38 m2</t>
  </si>
  <si>
    <t>Nguyễn Quốc Lâm</t>
  </si>
  <si>
    <t>Mái che khung sắt tiền chế  (xây dựng năm 2000): Mái tôn, vách tôn, nền xi măng (nằm trong phạm vi 27m trở vào)</t>
  </si>
  <si>
    <t>Thửa đất hiện trạng số 376
(Trích từ thửa đất số 121, tờ BĐĐC số 4)</t>
  </si>
  <si>
    <t>Nguyễn Thị Kim Đồng</t>
  </si>
  <si>
    <t>Thửa đất hiện trạng số 310
(Trích từ thửa đất số 234, tờ BĐĐC số 42)</t>
  </si>
  <si>
    <t>ĐC:  Khu phố 2, thị trấn, huyện Dương Minh Châu, tỉnh Tây Ninh</t>
  </si>
  <si>
    <t>Số phát hành GCN: CM 308780
Số vào sổ: 
Ngày cấp: 17/4/2018</t>
  </si>
  <si>
    <t>Áp giá bằng dất thương mại dịch vụ</t>
  </si>
  <si>
    <t>Thửa đất hiện trạng số 367
(Trích từ thửa đất số 1, tờ BĐĐC số 41)</t>
  </si>
  <si>
    <t>Nguyễn Hữu Sơn</t>
  </si>
  <si>
    <t>CCCD: 052069008398</t>
  </si>
  <si>
    <t>Đc: 743 đường số 21 Bời Lời, khu phố Ninh An, phường Ninh Sơn, thành phố Tây Ninh, tỉnh Tây Ninh</t>
  </si>
  <si>
    <t>SĐT: 0976561439</t>
  </si>
  <si>
    <t>Thửa đất hiện trạng số 328
(Trích từ thửa đất số 443, tờ BĐĐC số 42)</t>
  </si>
  <si>
    <t>Xây dựng công trình trên đất của ông Đinh Minh Tâm (đất thương mại dịch vụ + CLN)</t>
  </si>
  <si>
    <t>Xây dựng công trình trên đất của ông Đinh Xuân Hùng (đất ODT + CLN)</t>
  </si>
  <si>
    <t>Thửa đất hiện trạng số 321
(Trích từ thửa đất số 111, tờ BĐĐC số 42)</t>
  </si>
  <si>
    <t>Số phát hành GCN: CV 995675
Số vào sổ: 
Ngày cấp: 03/8/2020</t>
  </si>
  <si>
    <t>Thửa đất hiện trạng số 342
(Trích từ thửa đất số 796, tờ BĐĐC số 41)</t>
  </si>
  <si>
    <t>Số phát hành GCN: BS 824493
Số vào sổ: 
Ngày cấp: 25/3/2014</t>
  </si>
  <si>
    <t>Trịnh Thị Thinh</t>
  </si>
  <si>
    <t xml:space="preserve">Số phát hành GCN: R798584
Số vào sổ: 
Ngày cấp: 09/01/2001
</t>
  </si>
  <si>
    <t>Võ Thị Ân</t>
  </si>
  <si>
    <t>Thửa đất hiện trạng số 315
(Trích từ thửa đất số 432, tờ BĐĐC số 42)</t>
  </si>
  <si>
    <t>Số phát hành GCN: CV 995507
Số vào sổ: 
Ngày cấp: 13/7/2020</t>
  </si>
  <si>
    <t>Thửa đất hiện trạng số 77
(Trích từ thửa đất số 170, tờ BĐĐC số 37</t>
  </si>
  <si>
    <t>Lê Trung Quang 
Nguyễn Thị Ngọc Liên</t>
  </si>
  <si>
    <t>Thửa đất hiện trạng số 63,345
(Trích từ thửa đất số 721,722, tờ BĐĐC số 37)</t>
  </si>
  <si>
    <t>Số phát hành GCN: DN 698268
Số vào sổ: 
Ngày cấp: 15/01/2024</t>
  </si>
  <si>
    <t xml:space="preserve">Thửa đất hiện trạng số 80
(Trích từ thửa đất số 153, tờ BĐĐC số 37 </t>
  </si>
  <si>
    <t>Thửa đất hiện trạng số 91
(Trích từ thửa đất số 178( thửa cũ 836), tờ BĐĐC số 37(tờ bản đồ cũ số 5))</t>
  </si>
  <si>
    <t>Số phát hành GCN: CS 312907
Số vào sổ: 
Ngày cấp: 01/8/2019</t>
  </si>
  <si>
    <t>Thửa đất hiện trạng số 356
(Trích từ thửa đất số 896, tờ BĐĐC số 4)</t>
  </si>
  <si>
    <t>Thái Viết Thanh Trung</t>
  </si>
  <si>
    <t>CCCD: 072079003778</t>
  </si>
  <si>
    <t>Đ/c: 40 khu phố Ninh Trung, phường Ninh Sơn, thành phố Tây Ninh, tỉnh Tây Ninh</t>
  </si>
  <si>
    <t>SĐT: 0971230274</t>
  </si>
  <si>
    <t>Xây dựng nhà trên đất của bà Đỗ Thị Cúc và bà Đỗ Thị Điểm</t>
  </si>
  <si>
    <t>6,76</t>
  </si>
  <si>
    <t>Nhà cấp 4, xây dựng năm …....., không giấy phép
Kết cấu: Móng gạch +BTCT, cột gạch + BTCT, tường xây gạch tô sơn P (một phần dán gạch 300 x 600), mái lợp tôn, có đóng trần, nền gạch men, cửa xếp + cửa sắt kính</t>
  </si>
  <si>
    <t>Nhà tạm, xây dựng năm        , không giấy phép
Kết cấu: Khung sắt tiền chế, mái tôn, trần tôn lạnh, có vách, nền xi măng, cửa sắt cuốn, không đóng trần</t>
  </si>
  <si>
    <t>Nền gạch men 600 x 600</t>
  </si>
  <si>
    <t>Ốp tường gạch men 300 x 600</t>
  </si>
  <si>
    <t>Thửa đất hiện trạng số 309
(Trích từ thửa đất số 227, tờ BĐĐC số 42)</t>
  </si>
  <si>
    <t>Vũ Xuân Kiểm
Nguyễn Thị Muộn</t>
  </si>
  <si>
    <t>Võ Thị Kim Lam</t>
  </si>
  <si>
    <t>CCCD: 072189013185</t>
  </si>
  <si>
    <t>ĐC: 429 đường CMT8, KP 1, P3, thành phố Tây Ninh, tỉnh Tây Ninh</t>
  </si>
  <si>
    <t>ĐT: 0908176722</t>
  </si>
  <si>
    <t>Thửa đất hiện trạng số 284
(Trích từ thửa đất số 313, tờ BĐĐC số 42)</t>
  </si>
  <si>
    <t xml:space="preserve">Số phát hành GCN: BS805245
Số vào sổ: 
Ngày cấp: 10/4/2024
</t>
  </si>
  <si>
    <t>Nhà cấp 4, xây dựng năm 2014, không giấy phép
Kết cấu: Móng gạch + BTCT, cột gạch, tường xây gạch tô sơn P, nền gạch men, có đóng trần cửa kép xếp, mái tôn, hệ thống vệ sinh bên trong</t>
  </si>
  <si>
    <t>Thửa đất hiện trạng số 43
(Trích từ thửa đất số 614, tờ BĐĐC số 37)</t>
  </si>
  <si>
    <t>Thửa đất hiện trạng số 88,89
(Trích từ thửa đất số 614,455, tờ BĐĐC số 36)</t>
  </si>
  <si>
    <t>Thửa 455 TBĐ 36</t>
  </si>
  <si>
    <t>Thửa 614 TBĐ 36</t>
  </si>
  <si>
    <t>Thửa đất hiện trạng số 101
(Trích từ thửa đất số 337, tờ BĐĐC số 36)</t>
  </si>
  <si>
    <t>Thửa đất hiện trạng số 99
(Trích từ thửa đất số 586, tờ BĐĐC số 36)</t>
  </si>
  <si>
    <t>Thửa đất hiện trạng số 4
(Trích từ thửa đất số 698, tờ BĐĐC số 37)</t>
  </si>
  <si>
    <t>Thửa đất hiện trạng số 44
(Trích từ thửa đất số 331, tờ BĐĐC số 37)</t>
  </si>
  <si>
    <t>Thửa đất hiện trạng số 45
(Trích từ thửa đất số 328, tờ BĐĐC số 37)</t>
  </si>
  <si>
    <t>Thửa đất hiện trạng số 8
(Trích từ thửa đất số 83, tờ BĐĐC số 37)</t>
  </si>
  <si>
    <t>Nguyễn Văn Thành
Ngô Thị Thanh Hà</t>
  </si>
  <si>
    <t>Năm sinh: 1976
Năm sinh: 1978</t>
  </si>
  <si>
    <t xml:space="preserve">CCCD: 052076000357
CCCD: </t>
  </si>
  <si>
    <t xml:space="preserve">Đ/c: số 4 đường Lê Lợi, Phu phố 3, Phường 3, thành phố Tây Ninh, tỉnh Tây Ninh. 
</t>
  </si>
  <si>
    <t>Số phát hành GCN: BA 114135
Số vào sổ: 
Ngày cấp: 09/02/2010</t>
  </si>
  <si>
    <t>Thửa đất hiện trạng số 60
(Trích từ thửa đất số 156 tờ BĐĐC số 37)</t>
  </si>
  <si>
    <t>Nhà cấp 4, xây dựng năm       , không giấy phép
Kết cấu: Móng gạch + BTCT, cột gạch + BTCT, tường xây gạch tô quét vôi, nền gạch men, trần tôn lạnh, mái tôn, cửa sắt, hệ thống vệ sinh bên trong</t>
  </si>
  <si>
    <t>Mái che khung sắt tiền chế mái tôn, không vách nền xi măng (năm xây dựng …..., không giấy phép)</t>
  </si>
  <si>
    <t>Hàng rào lưới B40 không xây chân</t>
  </si>
  <si>
    <t>Thửa đất hiện trạng số 53
(Trích từ thửa đất số  367 tờ BĐĐC số 37   )</t>
  </si>
  <si>
    <t>Phan Công Phúc</t>
  </si>
  <si>
    <t>Thửa đất hiện trạng số 283
(Trích từ thửa đất số 759, tờ BĐĐC số 04)</t>
  </si>
  <si>
    <t>Số phát hành GCN: 
Ngày cấp: 24/5/2002</t>
  </si>
  <si>
    <t>Nhà cấp 4, xây dựng năm 2004, không giấy phép
Kết cấu: Móng gạch +BTCT, cột gạch + BTCT, tường xây gạch tô sơn P, mái lợp tôn, có đóng trần tấm nhựa thả, nền gạch men, cửa cuốn + cửa kính, hệ thống vệ sinh bên trong</t>
  </si>
  <si>
    <t>Thửa đất hiện trạng số 26
(Trích từ thửa đất số 295, tờ BĐĐC số 2)</t>
  </si>
  <si>
    <t>Số phát hành GCN: X206909
Số vào sổ: 
Ngày cấp: 15/9/2003</t>
  </si>
  <si>
    <t>Đ/c: 120 A đường Trương Quyền, khu phố 5, phường 1, thành phố Tây Ninh, tỉnh Tây Ninh
SĐT: 0903618297</t>
  </si>
  <si>
    <t xml:space="preserve">Nhà cấp 4 (xây dựng năm 1999,  có giấy chứng nhân quyền sở hữu nhà theo lộ giới 31m)
Kết cấu: Móng cột BTCT, mái tôn, trần tôn lạnh, tường xay gạch tô quét vôi, nền gạch men </t>
  </si>
  <si>
    <t>Thửa đất hiện trạng số 129
(Trích từ thửa đất số 438 tờ BĐĐC số 2</t>
  </si>
  <si>
    <t>Số phát hành GCN: BD 901986
Số vào sổ: 
Ngày cấp:  03/11/2010</t>
  </si>
  <si>
    <t>Đõ Quang Vinh
Lê Thị Kim Nhân</t>
  </si>
  <si>
    <t>Năm sinh: 1978,1979</t>
  </si>
  <si>
    <t>Đ/c: 41 đường Nguyễn Minh Hoàng, Phường 12, quận Tân Bình TPHCM
SĐT: 0989612396</t>
  </si>
  <si>
    <t>Thửa đất hiện trạng số 313,312
(Trích từ thửa đất số 502,503, tờ BĐĐC số 42)</t>
  </si>
  <si>
    <t>Nhà cấp 4, xây dựng năm …..., không giấy phép
Kết cấu: Móng gạch +BTCT, cột xây gạch , tường xây gạch tô sơn P, mái lợp tôn, có đóng trần, nền gạch men, cửa sắt kéo, hệ thống vệ sinh bên trong</t>
  </si>
  <si>
    <t>Mái che khung sắt tiền chế không vách, nền xi măng + gạch tezero</t>
  </si>
  <si>
    <t>Hồ Văn Phượng</t>
  </si>
  <si>
    <t>(Vợ Nguyễn Thị Xuân Thu)</t>
  </si>
  <si>
    <t>Thửa đất hiện trạng số 3
(Trích từ thửa đất số 389, tờ BĐĐC số 2</t>
  </si>
  <si>
    <t>Thửa đất hiện trạng số 155
(Trích từ thửa đất số 733, tờ BĐĐC số 43</t>
  </si>
  <si>
    <t xml:space="preserve">Thửa đất hiện trạng số 150
(Trích từ thửa đất số 145, tờ BĐĐC số 5 </t>
  </si>
  <si>
    <t>Đặng Thị Ngọc Điệp</t>
  </si>
  <si>
    <t xml:space="preserve">Thửa đất hiện trạng số 154
(Trích từ thửa đất số 876, tờ BĐĐC số 36 </t>
  </si>
  <si>
    <t xml:space="preserve">Thửa đất hiện trạng số 81
(Trích từ thửa đất số 154, tờ BĐĐC số 37 </t>
  </si>
  <si>
    <t>Số phát hành GCN: BS805520
Số vào sổ: 
Ngày cấp:02/6/2014</t>
  </si>
  <si>
    <t xml:space="preserve">Nguyễn Thị Liêm </t>
  </si>
  <si>
    <t>(xây dựng trên đất của ông Thái Minh Xuân)</t>
  </si>
  <si>
    <t>xây dựng trên đất của ông Thái Minh Xuân</t>
  </si>
  <si>
    <t>Phan Công Tâm
Đào Thị Mỹ Liêm</t>
  </si>
  <si>
    <t>Thửa đất hiện trạng số 104
(Trích từ thửa đất số 422, tờ BĐĐC số 02</t>
  </si>
  <si>
    <t>Số phát hành GCN:  CT 244956
Số vào sổ: 
Ngày cấp:  11/11/2019</t>
  </si>
  <si>
    <t>Thửa đất hiện trạng số 90
(Trích từ thửa đất số 309 tờ BĐĐC số 02)</t>
  </si>
  <si>
    <t>Thửa đất hiện trạng số 176
(Trích từ thửa đất số 688, tờ BĐĐC số 43)</t>
  </si>
  <si>
    <t>Thửa đất hiện trạng số 370
(Trích từ thửa đất số 249, tờ BĐĐC số 36)</t>
  </si>
  <si>
    <t>Thửa đất hiện trạng số 97,98
(Trích từ thửa đất số 251, tờ BĐĐC số 36)</t>
  </si>
  <si>
    <t>Thửa đất hiện trạng số 75
(Trích từ thửa đất số  306, tờ BĐĐC số 2)</t>
  </si>
  <si>
    <t>Thửa đất hiện trạng số 37
(Trích từ thửa đất số 119 tờ BĐĐC số 37)</t>
  </si>
  <si>
    <t>Nguyễn Thị Văn và các đồng thừa kế của ông Văn Thành Chấn</t>
  </si>
  <si>
    <t>Nguyễn Thị Cẩm</t>
  </si>
  <si>
    <t>Thửa đất hiện trạng số 102
(Trích từ thửa đất số 222 tờ BĐĐC số 36)</t>
  </si>
  <si>
    <t>Số phát hành GCN:  BA114552
Số vào sổ: 
Ngày cấp: 18/3/2010</t>
  </si>
  <si>
    <t>Lê Minh Vũ</t>
  </si>
  <si>
    <t xml:space="preserve">xây dựng trên đất của ông Lê Thanh Dũng </t>
  </si>
  <si>
    <t>4,7</t>
  </si>
  <si>
    <t>Số phát hành GCN: T977181
Ngày cấp: 11/12/2001</t>
  </si>
  <si>
    <t>Thửa đất hiện trạng số 200
(Trích từ thửa đất số 231, tờ BĐĐC số 03)</t>
  </si>
  <si>
    <t xml:space="preserve">Đỗ Văn Đức </t>
  </si>
  <si>
    <t>xây dựng trên đất của ông Đỗ Văn Tú (ông Tú đã chết) Thửa đất hiện trạng số 202</t>
  </si>
  <si>
    <t>xây dựng trên đất của ông Đỗ Văn Tú</t>
  </si>
  <si>
    <t xml:space="preserve">Đỗ Văn Nhựt </t>
  </si>
  <si>
    <t xml:space="preserve">Nhà cấp 4: Xây dựng năm 2002 không có giấy phép xây dựng
Kết cấu: Móng gạch, cột gạch, tường xây gạch có tô quét vôi, mái lợp tôn, không đóng trần, nền xi măng, cửa sắt. </t>
  </si>
  <si>
    <t xml:space="preserve">Đỗ Thanh Hồi </t>
  </si>
  <si>
    <t>Đỗ Thị Phúc</t>
  </si>
  <si>
    <t xml:space="preserve"> xây dựng trên đất của ông Đỗ Văn Tú (ông Tú đã chết) Thửa đất hiện trạng số 202</t>
  </si>
  <si>
    <t>Thửa đất hiện trạng số 203 (theo hồ sơ địa chính thể hiện đất đường giao thông)</t>
  </si>
  <si>
    <t>ông Lê Ngọc Minh Sơn</t>
  </si>
  <si>
    <t>Xây dựng trên đất giao thông</t>
  </si>
  <si>
    <t>không bồi thường</t>
  </si>
  <si>
    <t>Lê Ngọc Duyên</t>
  </si>
  <si>
    <t>Thửa đất hiện trạng số 9
(Trích từ thửa đất số 84, tờ BĐĐC số 37</t>
  </si>
  <si>
    <t>Số phát hành GCN: 
Số vào sổ: 
Ngày cấp: 10/9/2009</t>
  </si>
  <si>
    <t>ĐC   đường Đặng Ngọc Chinh khu phố 5, phường 3, thành phố Tây Ninh, tỉnh Tây Ninh</t>
  </si>
  <si>
    <t>(địa chính xã Bình Minh)</t>
  </si>
  <si>
    <t>Thửa đất hiện trạng số 167
(Trích từ thửa đất số 286 tờ BĐĐC số 36</t>
  </si>
  <si>
    <t>Nguyễn Trọng Thanh
Lương Thị Ngọc Thuyết</t>
  </si>
  <si>
    <t>Đỗ Thị Trong</t>
  </si>
  <si>
    <t>Thửa đất hiện trạng số 25
(Trích từ thửa đất số 114 tờ BĐĐC số 37)</t>
  </si>
  <si>
    <t>Đ/c: ấp Xóm Mía, xã Phước Trạch, huyện Gò Dầu, tỉnh Tây Ninh</t>
  </si>
  <si>
    <t>Số phát hành GCN: BK221521
Số vào sổ: 
Ngày cấp: 28/12/2012</t>
  </si>
  <si>
    <t>Thửa đất hiện trạng số 41
(Trích từ thửa đất số 131, tờ BĐĐC số 37)</t>
  </si>
  <si>
    <t>Giếng thấm sâu 2</t>
  </si>
  <si>
    <t>Số phát hành GCN: CI 975207
Số vào sổ: 
Ngày cấp: 12/9/2017</t>
  </si>
  <si>
    <t>Thửa đất hiện trạng số 253
(Trích từ thửa đất số 48 tờ BĐĐC số 42  )</t>
  </si>
  <si>
    <t xml:space="preserve">Huỳnh Tấn Khỏe </t>
  </si>
  <si>
    <t>xây dựng trên đất ông Nguyễn Quốc Công</t>
  </si>
  <si>
    <t>Thửa đất hiện trạng số 380
(Trích từ thửa đất số 511, tờ BĐĐC số 42)</t>
  </si>
  <si>
    <t>Kiều Cống 
Lê Thị Thu Hà</t>
  </si>
  <si>
    <t>Số phát hành GCN: 
Số vào sổ: 
Ngày cấp: 21/6/2006</t>
  </si>
  <si>
    <t>Thửa đất hiện trạng số 249
(Trích từ thửa đất số 246, tờ BĐĐC số 03)</t>
  </si>
  <si>
    <t>Số phát hành GCN:  AO 515199
Số vào sổ: 
Ngày cấp: 29/9/2005</t>
  </si>
  <si>
    <t xml:space="preserve">Nguyễn Thị Nghĩa </t>
  </si>
  <si>
    <t>(người giám hộ Nguyễn Thị Hường, Nguyễn Thị Hồng Thiện)</t>
  </si>
  <si>
    <t>Thửa đất hiện trạng số 289
(Trích từ thửa đất số 331, tờ BĐĐC số 42)</t>
  </si>
  <si>
    <t>Số phát hành GCN: BK 524053
Số vào sổ:
Ngày cấp: 20/8/2012</t>
  </si>
  <si>
    <t>Thửa đất hiện trạng số 287
(Trích từ thửa đất số 53, tờ BĐĐC số 42)</t>
  </si>
  <si>
    <t xml:space="preserve">Trương Thị Thanh </t>
  </si>
  <si>
    <t>xây dựng trên đất ông Trương Đình Cử</t>
  </si>
  <si>
    <t xml:space="preserve">Đỗ Quang Tường </t>
  </si>
  <si>
    <t>xây dựng trên đất bà Đỗ Thị Trình</t>
  </si>
  <si>
    <t>Thửa đất hiện trạng số 258
(Trích từ thửa đất số 318, tờ BĐĐC số 42)</t>
  </si>
  <si>
    <t>Năm sinh: 1957
CCCD: 051157000002
SĐT: 0797756656</t>
  </si>
  <si>
    <r>
      <t xml:space="preserve">bà Lê Ngọc Mỹ Nương
</t>
    </r>
    <r>
      <rPr>
        <sz val="12"/>
        <rFont val="Times New Roman"/>
        <family val="1"/>
      </rPr>
      <t>CCCD: 072183000033
ĐT: 0912074845</t>
    </r>
  </si>
  <si>
    <t>CCCD: 072168001450
ĐT: 0919307768</t>
  </si>
  <si>
    <t>Năm sinh: 1960
CCCD: 072160003039
SĐT: 0918023512</t>
  </si>
  <si>
    <t>CCCD: 072077002127
SĐT: 0919470876</t>
  </si>
  <si>
    <t>Thửa đất hiện trạng số 255
(Trích từ thửa đất số 315, tờ BĐĐC số 42)</t>
  </si>
  <si>
    <t>Thửa đất hiện trạng số 256
(Trích từ thửa đất số 316, tờ BĐĐC số 42)</t>
  </si>
  <si>
    <t>Năm sinh: 1982
SĐT: 0797040520</t>
  </si>
  <si>
    <t>Thửa đất hiện trạng số 266
(Trích từ thửa đất số 44, tờ BĐĐC số 42)</t>
  </si>
  <si>
    <t>Thửa đất hiện trạng số 292
(Trích từ thửa đất số 42, tờ BĐĐC số 42)</t>
  </si>
  <si>
    <t>Thửa đất hiện trạng số 381
(Trích từ thửa đất số 467, tờ BĐĐC số 42)</t>
  </si>
  <si>
    <t>Năm sinh: 1997
SĐT: 0975677222</t>
  </si>
  <si>
    <t>Nguyễn Văn Tiến
Nguyễn Thị Loan</t>
  </si>
  <si>
    <t>Thửa đất hiện trạng số 288
(Trích từ thửa đất số 371, tờ BĐĐC số 42)</t>
  </si>
  <si>
    <t>Nguyễn Văn Trương
Trần Thị Mai</t>
  </si>
  <si>
    <t>bà Trần Thi Thu Nguyệt (vợ) Năm sinh: 1960</t>
  </si>
  <si>
    <t>Các đồng thừa kế của ông Đào Kim Anh</t>
  </si>
  <si>
    <t>Thửa đất hiện trạng số 311
(Trích từ thửa đất số 512, tờ BĐĐC số 42)</t>
  </si>
  <si>
    <t>Thửa đất hiện trạng số 290
(Trích từ thửa đất số 248, tờ BĐĐC số 42)</t>
  </si>
  <si>
    <t>Thửa đất hiện trạng số 250
(Trích từ thửa đất số 245, tờ BĐĐC số 03)</t>
  </si>
  <si>
    <t>Đối với tài sản trên đất thuộc phạm vi tính từ tim đường ra mỗi bên 13,5m không bồi thường, không hỗ trợ, hộ dân tự tháo dỡ di dời</t>
  </si>
  <si>
    <t xml:space="preserve">    </t>
  </si>
  <si>
    <t>Thửa đất hiện trạng số 374
(Trích từ thửa đất số 763,764,765,782 tờ BĐĐC số 4)</t>
  </si>
  <si>
    <t>Thửa đất hiện trạng số 291
(Trích từ thửa đất số 247 , tờ BĐĐC số 42)</t>
  </si>
  <si>
    <t>Thửa đất hiện trạng số 298,299,300,301,302,303,304,305
(Trích từ thửa đất số 264, tờ BĐĐC số 03)</t>
  </si>
  <si>
    <t>Thửa đất hiện trạng số 235
(Trích từ thửa đất số 64 tờ BĐĐC số 43</t>
  </si>
  <si>
    <t>Đỗ Thị Điễm</t>
  </si>
  <si>
    <t>Thửa đất hiện trạng số 97
(Trích từ thửa đất số 208  tờ BĐĐC số 42)</t>
  </si>
  <si>
    <t>Thửa đất hiện trạng số 382
(Trích từ thửa đất số 208  tờ BĐĐC số 42)</t>
  </si>
  <si>
    <t>Thửa đất hiện trạng số 365
(Trích từ thửa đất số 155, tờ BĐĐC số 41)</t>
  </si>
  <si>
    <t>Năm sinh: 1970
CCCD: 072170003918</t>
  </si>
  <si>
    <t>Thửa đất hiện trạng số 351
(Trích từ thửa đất số  656  , tờ BĐĐC số 41 )</t>
  </si>
  <si>
    <t>Diện tích nằm trong phạm vi từ lộ giới 27m đến lộ giới 31m bồi thường</t>
  </si>
  <si>
    <t>Cây sung đường kính 80cm (trên 3 năm)</t>
  </si>
  <si>
    <t>Cây phát tài đỏ cao dưới 1m</t>
  </si>
  <si>
    <t>Cây sứ quân tử 4 năm cao trên 2m</t>
  </si>
  <si>
    <t>Cây sa kê trên 3 năm tuổi</t>
  </si>
  <si>
    <t>Cây đinh lăng đường kính 2cm, cao 1m (3 năm)</t>
  </si>
  <si>
    <t>Cây trứng cá 10 năm (10 cm)</t>
  </si>
  <si>
    <t>40000</t>
  </si>
  <si>
    <t>4000</t>
  </si>
  <si>
    <t>Theo hóa đơn ngành điện</t>
  </si>
  <si>
    <t>Theo hóa đơn ngành nước</t>
  </si>
  <si>
    <t xml:space="preserve">Giếng khoan sâu 32m </t>
  </si>
  <si>
    <t>Thửa đất hiện trạng số 27
(Trích từ thửa đất số 243, tờ BĐĐC số 37)</t>
  </si>
  <si>
    <t>XÂY DỰNG NHÀ TRÊN ĐẤT CỦA NGƯỜI KHÁC</t>
  </si>
  <si>
    <t>Vũ Chí Thư</t>
  </si>
  <si>
    <t>Nhà cấp 4, xây dựng năm …...., không giấy phép
Kết cấu: Móng gạch, cột gạch, tường xây gạch tô sơn P, mái lợp tôn, không đóng trần, nền gạch tàu + xi măng, cửa sắt</t>
  </si>
  <si>
    <t>ĐT 0986978057</t>
  </si>
  <si>
    <t>Thửa đất hiện trạng số 84
(Trích từ thửa đất số 237, tờ BĐĐC số 36)</t>
  </si>
  <si>
    <t xml:space="preserve">Số phát hành GCN: 
Ngày cấp: </t>
  </si>
  <si>
    <t>Trương Văn Khua</t>
  </si>
  <si>
    <t>Đ/c: Phường Lộc Hưng, thị xã Trảng Bàng, tỉnh Tây Ninh</t>
  </si>
  <si>
    <t>Thửa đất hiện trạng số 57
(Trích từ thửa đất số 370, tờ BĐĐC số 37)</t>
  </si>
  <si>
    <t>Truong Văn Vui</t>
  </si>
  <si>
    <t>Đ/c:  đường Bời Lời, khu phố Ninh Trung, phường Ninh Sơn, thành phố Tây Ninh, tỉnh Tây Ninh</t>
  </si>
  <si>
    <t>Thửa đất hiện trạng số 55
(Trích từ thửa đất số 533, tờ BĐĐC số 37)</t>
  </si>
  <si>
    <t>Trương Thị Hạnh</t>
  </si>
  <si>
    <t xml:space="preserve">ĐT </t>
  </si>
  <si>
    <t>Thửa đất hiện trạng số 54
(Trích từ thửa đất số 130, tờ BĐĐC số 37)</t>
  </si>
  <si>
    <t>,</t>
  </si>
  <si>
    <t>DT tính đến nhịp cột 11,09 m2
Hỗ trợ 40%</t>
  </si>
  <si>
    <t>DT tính đến hết nhịp cột 26,4 m2
Hỗ trợ 40%</t>
  </si>
  <si>
    <t>Hỗ trợ 40%</t>
  </si>
  <si>
    <t>Bồi thường 100%</t>
  </si>
  <si>
    <t>DT tính đến nhịp cột 19,04 m2
Hỗ trợ 40%</t>
  </si>
  <si>
    <t>DT tổng 33,25 m2
Không bồi thường</t>
  </si>
  <si>
    <t>DT tính đến nhịp cột 10,26 m2
Hỗ trợ 40%</t>
  </si>
  <si>
    <t>DT tính đến nhịp cột 2,6m2
Hỗ trợ 40%</t>
  </si>
  <si>
    <t>DT tính đến nhịp cột 19,51 m2
Không bồi thường</t>
  </si>
  <si>
    <t>DT tính đến nhịp cột 13,02 m2
Hỗ trợ 40%</t>
  </si>
  <si>
    <t>kiểm tra lại nhà có GPXD có thời hạn
Hỗ trợ 10%</t>
  </si>
  <si>
    <t>Nhà tạm: Móng gạch, cột sắt, vách gỗ, cửa đi nhôm kính, trần tấm nhựa thả, mái lợp tôn, nền gạch men</t>
  </si>
  <si>
    <t>DT tính hết nhịp cột 9,0m2
chưa đủ thông tin năm xây dựng</t>
  </si>
  <si>
    <t>DT tính hết nhịp cột 35,4m2
chưa đủ thông tin năm xây dựng</t>
  </si>
  <si>
    <t>DT tính hết nhịp cột 33,0 m2
Không bồi thường</t>
  </si>
  <si>
    <t>DT tính hết nhịp cột 57,19 m2
Không bồi thường</t>
  </si>
  <si>
    <t>DT tính đến nhịp cột 15,03 m2
Không bồi thường</t>
  </si>
  <si>
    <t>Theo giá VLXD</t>
  </si>
  <si>
    <t>DT tính đến nhịp cột 31,5 m2
Hỗ trợ 40%</t>
  </si>
  <si>
    <t>DT tính đến nhịp cột 50,0 m2 
Chưa xác định được năm xây dựng</t>
  </si>
  <si>
    <t>DT tính hết nhịp cột 19,33 m2
chưa xác định được năm xây dựng</t>
  </si>
  <si>
    <t>DT tính hết nhịp cột 14,95 m2
chưa xác định được năm xây dựng</t>
  </si>
  <si>
    <t>DT tính hết nhịp cột 6,0 m2
Hỗ trợ 40%</t>
  </si>
  <si>
    <t>DT tính hết nhịp cột 21,69 m2
Hỗ trợ 40%</t>
  </si>
  <si>
    <t>DT tính đến nhịp cột 14,94m2
chưa xác định được năm xây dựng</t>
  </si>
  <si>
    <t>DT tính hết nhịp cột 20,91 m2
Hỗ trợ 40%</t>
  </si>
  <si>
    <t>ảnh hưởng tầng 2, 3
Bồi thường 100%</t>
  </si>
  <si>
    <t>DT tính đến hết nhịp cột 15,2 m2
Bồi thường 100%</t>
  </si>
  <si>
    <t>Diện tích đền hết nhịp cột: 
= (16,6m x 4,15m) = 68,89m²
Hỗ trợ 40%</t>
  </si>
  <si>
    <t>DT tính hết nhịp cột 28,8 m2
Hỗ trợ 40%</t>
  </si>
  <si>
    <t>DT tính hết nhịp cột 17,0 m2
Hỗ trợ 40%</t>
  </si>
  <si>
    <t>DT tính hết nhịp cột 36,31 m2
Hỗ trợ 40%</t>
  </si>
  <si>
    <t>DT tính đến nhịp cột 29,492 m2
Hỗ trợ 40%</t>
  </si>
  <si>
    <t>DT tính đến nhịp cột 18,49 m2
Hỗ trợ 40%</t>
  </si>
  <si>
    <t>DT tính đến nhịp cột 17,913 m2
Không bồi thường</t>
  </si>
  <si>
    <t>DT tính đến nhịp cột 47,885 m2
Bồi thường 100%</t>
  </si>
  <si>
    <t>Ban công của nhà cấp III (BTCT)</t>
  </si>
  <si>
    <t>DT tính đến nhịp cột 50,903 m2
Hỗ trợ 40%</t>
  </si>
  <si>
    <t>chưa xác định thời gian xây dựng</t>
  </si>
  <si>
    <t>DT tính đến nhịp cột 24,035 m2
Bồi thường 100%</t>
  </si>
  <si>
    <t>DT tính đến nhịp cột 19,98 m2
Hỗ trợ 40%</t>
  </si>
  <si>
    <t xml:space="preserve">DT tính đến nhịp cột 8m2
Hỗ trợ 40%
</t>
  </si>
  <si>
    <t>DT tính đến nhịp cột 45,36 m2
Bồi thường 100%</t>
  </si>
  <si>
    <t>DT tính đến nhịp cột 21,326 m2
Bồi thường 100%</t>
  </si>
  <si>
    <t>DT tính đến nhịp cột 20,379 m2
Hỗ trợ 40%</t>
  </si>
  <si>
    <t>DT tính đến nhịp cột 25,676 m2
Bồi thường 100%</t>
  </si>
  <si>
    <t>DT tính đến nhịp cột 21,7 m2
Hỗ trợ 40%</t>
  </si>
  <si>
    <t>DT tính đến nhịp cột 50,5m2
Bồi thường 100%</t>
  </si>
  <si>
    <t>DT tính đến nhịp cột 50,5m3
Bồi thường 100%</t>
  </si>
  <si>
    <t>DT tính đến nhịp cột 18,1m4
Bồi thường 100%</t>
  </si>
  <si>
    <t>DT tính đến nhịp cột 52,80 m2
Bồi thường 100%</t>
  </si>
  <si>
    <t>DT tính đến nhịp cột 16,06 m2
Hỗ trợ 40%</t>
  </si>
  <si>
    <t>DT tính đến nhịp cột 39,96 m2
Bồi thường 100%</t>
  </si>
  <si>
    <t>DT tính đến nhịp cột 25,56 m2
Hỗ trợ 40%</t>
  </si>
  <si>
    <t>DT tính đến nhịp cột 24,4 m2
Bồi thường 100%</t>
  </si>
  <si>
    <t>DT tính đến nhịp cột 15,0 m2
Hỗ trợ 40%</t>
  </si>
  <si>
    <t>DT tính đến nhịp cột 28,0 m2
Bồi thường 100%</t>
  </si>
  <si>
    <t>DT tính đến nhịp cột 10,87 m2
Bồi thường 100%</t>
  </si>
  <si>
    <t>DT tính đến nhịp cột 24,24 m2
Bồi thường 100%</t>
  </si>
  <si>
    <t>DT tính đến nhịp cột 45,0m2
Bồi thường 100%</t>
  </si>
  <si>
    <t>DT tính đến nhịp cột 26,0 m2
Bồi thường 100%</t>
  </si>
  <si>
    <t>DT tính đến nhịp cột 21,6 m2
Bồi thường 100%</t>
  </si>
  <si>
    <t>DT tính đến nhịp cột 10,764 m2
Bồi thường 100%</t>
  </si>
  <si>
    <t>DT tính đến nhịp cột 16,8 m2
Bồi thường 100%</t>
  </si>
  <si>
    <t>DT tính đến nhịp cột 22,65 m2
Bồi thường 100%</t>
  </si>
  <si>
    <t>DT tính đến nhịp cột 22,01 m2
Hỗ trợ 40%</t>
  </si>
  <si>
    <t>DT tính đến nhịp cột 11,43 m2
Bồi thường 100%</t>
  </si>
  <si>
    <t>DT tính đến nhịp cột 25,8 m2
Bồi thường 100%</t>
  </si>
  <si>
    <t>DT tính đến nhịp cột 32,39 m2
Bồi thường 100%</t>
  </si>
  <si>
    <t>DT tính đến nhịp cột 8,34 m2
Hỗ trợ 40%</t>
  </si>
  <si>
    <t>DT tính đến nhịp cột 12,51 m2
Bồi thường 100%</t>
  </si>
  <si>
    <t>DT tính đến nhịp cột 30,121 m2
Bồi thường 100%</t>
  </si>
  <si>
    <t>DT tính đến nhịp cột 23,90 m2
Bồi thường 100%</t>
  </si>
  <si>
    <t>DT tính đến nhịp cột 39,0 m2
Bồi thường 100%</t>
  </si>
  <si>
    <t>DT tính đến nhịp cột 42,4 m2
Bồi thường 100%</t>
  </si>
  <si>
    <t>DT tính đến nhịp cột 17,42m2
Bồi thường 100%</t>
  </si>
  <si>
    <t>DT tính đến nhịp cột 35,1 m2
Bồi thường 100%</t>
  </si>
  <si>
    <t>DT tính đến nhịp cột 13,41m2
Bồi thường 100%</t>
  </si>
  <si>
    <t>DT tính đến nhịp cột 12,25m2
Không bồi thường</t>
  </si>
  <si>
    <t>DT tính đến nhịp cột 29,93m2
Không bồi thường</t>
  </si>
  <si>
    <t>DT tính đến nhịp cột 24,84m2
Chưa xác định được năm xây dựng</t>
  </si>
  <si>
    <t>Chưa xác định được năm xây dựng</t>
  </si>
  <si>
    <t>DT tính đến nhịp cột 48,43m2
Bồi thường 100%</t>
  </si>
  <si>
    <t>DT tính đến nhịp cột 11,96m2
Bồi thường 100%</t>
  </si>
  <si>
    <t>DT tính đến nhịp cột 18,43m2
Bồi thường 100%</t>
  </si>
  <si>
    <t>DT tính đến nhịp cột 29,04 m2
Hỗ trợ 40%</t>
  </si>
  <si>
    <t>DT tính đến nhịp cột 13,83 m2
Hỗ trợ 40%</t>
  </si>
  <si>
    <t>DT tính đến nhịp cột 12,31m2
Bồi thường 100%</t>
  </si>
  <si>
    <t>DT tính đến nhịp cột 15,20m2
Bồi thường 100%</t>
  </si>
  <si>
    <t>DT tính đến nhịp cột 37,05m2
Bồi thường 100%</t>
  </si>
  <si>
    <t>DT tính đến nhịp cột 9,4m2
Bồi thường 100%</t>
  </si>
  <si>
    <t>Diện tích xây dựng đến hết nhịp cột 11,75m2
Bồi thường 100%</t>
  </si>
  <si>
    <t>Diện tích hết nhịp cột: 4,16m x 4m
Hỗ trợ 40%</t>
  </si>
  <si>
    <t>Diện tích hết nhịp cột: 5,06m x 4m
Hỗ trợ 40%</t>
  </si>
  <si>
    <t>Diện tích đền hết nhịp cột: 3,1m x 4,1m
Bồi thường 100%</t>
  </si>
  <si>
    <t>Diện tích đền hết nhịp cột: 5,1m x 5m
Hỗ trợ 40%</t>
  </si>
  <si>
    <t>Diện tích đền hết nhịp cột: 3,5m x 5m
Bồi thường 100%</t>
  </si>
  <si>
    <t>Diện tích đền hết nhịp cột: (5,06m x 4m) -6,5m² = 13,74m²
Bồi thường 100%</t>
  </si>
  <si>
    <t>Diện tích hết nhịp cột: 4,5m x 3,3m = 14,85 m²
Bồi thường 100%</t>
  </si>
  <si>
    <t>Diện tích hết nhịp cột: (5,6m x 3,15m) - 4,96m² = 12,68m²
Bồi thường 100%</t>
  </si>
  <si>
    <t>Diện tích hết nhịp cột: (5,4m x 4,5m)- 1,8m² = 22,5m²
Bồi thường 100%</t>
  </si>
  <si>
    <t>Diện tích hết nhịp cột: 5m x 3,3m
Bồi thường 100%</t>
  </si>
  <si>
    <t>Diện tích đền hết nhịp cột: 3,3m x 5,1m
Bồi thường 100%</t>
  </si>
  <si>
    <t>DT tính đến nhịp cột 18,02 m2
Hỗ trợ 40%</t>
  </si>
  <si>
    <t>DT tính đến nhịp cột 19,65 m2
Bồi thường 100%</t>
  </si>
  <si>
    <t>DT tính đến nhịp cột 19,55 m2
Bồi thường 100%</t>
  </si>
  <si>
    <t>DT tính đến nhịp cột 12,96 m2
Chưa xác định được năm xây dựng</t>
  </si>
  <si>
    <t>DT tính đến nhịp cột 44,46 m2
Bồi thường 100%</t>
  </si>
  <si>
    <t>DT tính đến nhịp cột 11,38 m2
Hỗ trợ 40%</t>
  </si>
  <si>
    <t>DT tính đến nhịp cột 11,48 m2
Hỗ trợ 40%</t>
  </si>
  <si>
    <t>DT tính đến nhịp cột 24,85 m2
Bồi thường 100%</t>
  </si>
  <si>
    <t>DT tính đến nhịp cột 38,25 m2
Hỗ trợ 40%</t>
  </si>
  <si>
    <t>DT tính đến nhịp cột 11,7 m2
Bồi thường 100%</t>
  </si>
  <si>
    <t>DT tính đến nhịp cột 30,95 m2
Bồi thường 100%</t>
  </si>
  <si>
    <t>DT tính đến nhịp cột 11,85 m2
Chưa xác định được năm xây dựng</t>
  </si>
  <si>
    <t>DT tính đến nhịp cột 10,34 m2
Bồi thường 100%</t>
  </si>
  <si>
    <t>DT tính đến nhịp cột 3,75 m2
Bồi thường 100%</t>
  </si>
  <si>
    <t>DT tính đến nhịp cột 16,15 m2
Bồi thường 100%</t>
  </si>
  <si>
    <t>DT tính đến nhịp cột 57,72m2
Bồi thường 100%</t>
  </si>
  <si>
    <t>DT tính đến nhịp cột 19,7m2
Hỗ trợ 40%</t>
  </si>
  <si>
    <t>DT tính đến nhịp cột 4,1m2
Bồi thường 100%</t>
  </si>
  <si>
    <t>DT tính đến nhịp cột 17,3m2
Bồi thường 100%</t>
  </si>
  <si>
    <t>DT tính đến nhịp cột 19,89m2
Bồi thường 100%</t>
  </si>
  <si>
    <t>DT tính đến nhịp cột 15,17m2
Bồi thường 100%</t>
  </si>
  <si>
    <t>DT tính đến nhịp cột 11,8m2
Bồi thường 100%</t>
  </si>
  <si>
    <t>DT tính đến nhịp cột 38,86m2
Hỗ trợ 40%</t>
  </si>
  <si>
    <t>DT tính đến nhịp cột 12,55m2
Hỗ trợ 40%</t>
  </si>
  <si>
    <t>nhà cấp 3 nằm trên 02 thửa đất 
Bồi thường 100%</t>
  </si>
  <si>
    <t>DT tính đến nhịp cột 13,25m2
Hỗ trợ 40%</t>
  </si>
  <si>
    <t>DT tính hết nhịp 16,646m2
Hỗ trợ 40%</t>
  </si>
  <si>
    <t>DT tính hết nhịp 20,52 m2
Không bồi thường</t>
  </si>
  <si>
    <t>DT tính đến nhịp cột 16,5m2
Chưa xác định được năm xây dựng</t>
  </si>
  <si>
    <t>Diện tích ảnh hưởng = 2,0m x 4,6m = 9,2m2
Chưa xác định được năm xây dựng</t>
  </si>
  <si>
    <t>Diện tích ảnh hưởng = 2,0m x 4,0m = 8,0m2
 Bồi thường 100%</t>
  </si>
  <si>
    <t>CCCD: 052169000315
Năm sinh: 1969</t>
  </si>
  <si>
    <t>DT ảnh hưởng = 0,5 x (1,0m x 4,5m) = 2,25m2
Hỗ trợ 40%</t>
  </si>
  <si>
    <t>Mái che khung sắt tiền chế, không vách, nền xi măng + gạch men  (xây dựng năm 2002)</t>
  </si>
  <si>
    <t>DT tính đến nhịp cột 20,7 m2
Hỗ trợ 40%</t>
  </si>
  <si>
    <t>DT tính đến nhịp cột 14,4m2
Chưa xác định được năm xây dựng</t>
  </si>
  <si>
    <t>DT tính đến nhịp cột 16,92m2
Bồi thường 100%</t>
  </si>
  <si>
    <t>DT tính đến nhịp cột 30,24m2
Hỗ trợ 40%</t>
  </si>
  <si>
    <t>DT tính đến nhịp cột 21,96m2
Hỗ trợ 40%</t>
  </si>
  <si>
    <t>DT tính đến nhịp cột 33,48m2
Hỗ trợ 40%</t>
  </si>
  <si>
    <t>DT tính đến nhịp cột 21,15m2
Hỗ trợ 40%</t>
  </si>
  <si>
    <t>DT tính đến nhịp cột 35,7m2
Hỗ trợ 40%</t>
  </si>
  <si>
    <t>DT tính đến nhịp cột 11,04m2
Hỗ trợ 40%</t>
  </si>
  <si>
    <t>DT tính đến nhịp cột 18,16m2
Không bồi thường</t>
  </si>
  <si>
    <t>DT tính đến nhịp cột 11,04m2
Không bồi thường</t>
  </si>
  <si>
    <t>DT tính đến nhịp cột 24,74m2
Bồi thường 100%</t>
  </si>
  <si>
    <t>DT tính đến nhịp cột 32,4m2
Chưa xác định được năm xây dựng</t>
  </si>
  <si>
    <t>DT tính đến nhịp cột 19,78m2
Hỗ trợ 40%</t>
  </si>
  <si>
    <t>DT tính đến nhịp cột 14,42m2
Hỗ trợ 40%</t>
  </si>
  <si>
    <t>DT tính đến nhịp cột 8,7m2
Hỗ trợ 40%</t>
  </si>
  <si>
    <t>DT tính đến nhịp cột 20,0m2
Hỗ trợ 40%</t>
  </si>
  <si>
    <t>DT tính đến nhịp cột 18,5m2
Hỗ trợ 40%</t>
  </si>
  <si>
    <t>DT tính đến nhịp cột 26,4m2
Không bồi thường</t>
  </si>
  <si>
    <t>DT tính đến nhịp cột 11,6m2
Không bồi thường</t>
  </si>
  <si>
    <t>DT tính đến nhịp cột 9,5m2
Hỗ trợ 40%</t>
  </si>
  <si>
    <t>DT tính đến nhịp cột 15,8m2
Hỗ trợ 40%</t>
  </si>
  <si>
    <t>DT tính đến nhịp cột 8,39m2
Hỗ trợ 40%</t>
  </si>
  <si>
    <t>DT tính đến nhịp cột 13,4m2
Không bồi thường</t>
  </si>
  <si>
    <t>DT tính đến nhịp cột 14,4m2
Không bồi thường</t>
  </si>
  <si>
    <t>DT tính đến nhịp cột 47,05m2
Hỗ trợ 40%</t>
  </si>
  <si>
    <t>DT tính đến nhịp cột 12,3+8,4=20,7m2
Chưa xác định được năm xây dựng</t>
  </si>
  <si>
    <t>DT tính đến nhịp cột 32,45m2
Hỗ trợ 40%</t>
  </si>
  <si>
    <t>Mái che khung sắt tiền chế, mái tôn, không vách, nền xi măng (xây dựng năm 1993, không giấy phép)</t>
  </si>
  <si>
    <t>DT tính đến nhịp cột 8,10 m2
Bồi thường 100%</t>
  </si>
  <si>
    <t>DT tính đến nhịp cột 27,88m2
Hỗ trợ 40%</t>
  </si>
  <si>
    <t>DT tính đến nhịp cột 17,16m2
Không bồi thường</t>
  </si>
  <si>
    <t>DT tính đến nhịp cột 87,36m2
Không bồi thường</t>
  </si>
  <si>
    <t>DT tính đến nhịp cột 30,11m2
Bồi thường 100%</t>
  </si>
  <si>
    <t>DT tính đến nhịp cột 11,39m2
Bồi thường 100%</t>
  </si>
  <si>
    <t>DT tính đến nhịp cột 23,85 m2
Bồi thường 100%</t>
  </si>
  <si>
    <t>DT tính đến nhịp cột 16,97m2
Bồi thường 100%</t>
  </si>
  <si>
    <t>DT tính đến nhịp cột 17,52m2
Bồi thường 100%</t>
  </si>
  <si>
    <t>DT tính đến nhịp cột 38,32m2
Hỗ trợ 40%</t>
  </si>
  <si>
    <t>DT tính đến nhịp cột 36,29m2
Bồi thường 100%</t>
  </si>
  <si>
    <t>DT tính đến nhịp cột 11,49m2
Bồi thường 100%</t>
  </si>
  <si>
    <t>DT tính đến nhịp cột 8,24m2
Chưa xác định được năm xây dựng</t>
  </si>
  <si>
    <t>DT tính đến nhịp cột 10,5m2
Hỗ trợ 40%</t>
  </si>
  <si>
    <t>DT tính đến nhịp cột 8,1m2
Hỗ trợ 40%</t>
  </si>
  <si>
    <t>DT tính đến nhịp cột 11,2m2
Hỗ trợ 40%</t>
  </si>
  <si>
    <t>DT tính đến nhịp cột 38,48m2
Hỗ trợ 40%</t>
  </si>
  <si>
    <t>DT tính đến nhịp cột 9,6m2
Không bồi thường</t>
  </si>
  <si>
    <t>DT tính đến nhịp cột 16,49m2
Không bồi thường</t>
  </si>
  <si>
    <t>DT tính đến nhịp cột 22,5m2
Hỗ trợ 40%</t>
  </si>
  <si>
    <t>DT tính đến nhịp cột 15,84m2
Hỗ trợ 40%</t>
  </si>
  <si>
    <t>DT tính đến nhịp cột 13,16m2
Bồi thường 100%</t>
  </si>
  <si>
    <t>DT tính đến nhịp cột 33,06 m2
Không bồi thường</t>
  </si>
  <si>
    <t>DT tính đến nhịp cột 12,84 m2
Không bồi thường</t>
  </si>
  <si>
    <t>DT tính đến nhịp cột 22,25 m2
Không bồi thường</t>
  </si>
  <si>
    <t>DT tính đến nhịp cột 18,06 m2
Không bồi thường</t>
  </si>
  <si>
    <t>DT tính đến nhịp cột 8,14 m2
Hỗ trợ 40%</t>
  </si>
  <si>
    <t>DT tính đến nhịp cợt 19,20m2
Hỗ trợ 40%</t>
  </si>
  <si>
    <t>DT tính đến nhịp cợt 11,92m2
Hỗ trợ 40%</t>
  </si>
  <si>
    <t>DT tính đến nhịp cợt 19,5m2
Bồi thường 100%</t>
  </si>
  <si>
    <t>Diện tích phạm vi lộ giới từ 27m đến 31m (Đường Quy hoạch 4m Diện tích: 2*2 = 4,0m²)</t>
  </si>
  <si>
    <t xml:space="preserve">DT tính đến nhịp cợt 26,82m2
Bồi thường 100%
</t>
  </si>
  <si>
    <t>DT tính đến nhịp cột 19,26m2
Bồi thường 100%</t>
  </si>
  <si>
    <t>DT tính đến nhịp cột 25,2m2
Bồi thường 100%</t>
  </si>
  <si>
    <t>DT tính đến nhịp cột 7,13m2
Hỗ trợ 40%</t>
  </si>
  <si>
    <t>DT tính đến nhịp cột 7,43 m2
Hỗ trợ 40%</t>
  </si>
  <si>
    <t>DT tính đến nhịp cột 9,6m2
Hỗ trợ 40%</t>
  </si>
  <si>
    <t>DT tính đến nhịp cột 5,73m2
Hỗ trợ 40%</t>
  </si>
  <si>
    <t>DT tính đến nhịp cột 12,72m2
Không bồi thường</t>
  </si>
  <si>
    <t>DT tính đến nhịp cột 11,4m2
Bồi thường 100%</t>
  </si>
  <si>
    <t>DT tính đến nhịp cột 30,0 m2
Bồi thường 100%</t>
  </si>
  <si>
    <t>Nhà cấp 4: xây dựng năm 1998 không có giấy phép xây dựng
Kết cấu: Móng gạch, cột gạch, mái lợp tôn, trần tôn lạnh, nên gạch men, tường xây gạch, cửa sắt kính</t>
  </si>
  <si>
    <t>DT tính đến nhịp cột 15,05 m2
Hỗ trợ 40%</t>
  </si>
  <si>
    <t>DT tính đến nhịp cột 24,3 m2
Chưa xác định được năm xây dựng</t>
  </si>
  <si>
    <t>DT tính đến nhịp cột 20,4 m2
Bồi thường 100%</t>
  </si>
  <si>
    <t>DT tính đến nhịp cột 17,85 m2
Bồi thường 100%</t>
  </si>
  <si>
    <t>DT tính tính từ ranh 31 đến nhịp cột 42,66 m2
Chưa xác định được năm xây dựng</t>
  </si>
  <si>
    <t>DT tính tính từ ranh 31 đến nhịp cột 22,75 m2
Xây dựng trên đất nông nghiệp năm 2016, không bồi thường</t>
  </si>
  <si>
    <t>DT tính đến nhịp cột 17,0 m2
Chưa xác định được năm xây dựng</t>
  </si>
  <si>
    <t>DT tính tính từ ranh 27 đến nhịp cột 15,77 m2
Hỗ trợ 40%</t>
  </si>
  <si>
    <t>DT tính tính từ ranh 31 đến nhịp cột 4,864 m2
Hỗ trợ 40%</t>
  </si>
  <si>
    <t>DT tính đến nhịp cột 12,75 m2
Chưa xác định được năm xây dựng</t>
  </si>
  <si>
    <t>Xây dựng trên đất nông nghiệp năm 2020, không bồi thường</t>
  </si>
  <si>
    <t xml:space="preserve">DT tính đến nhịp cột 19,2 m2
Chưa xác định được năm xây dựng
</t>
  </si>
  <si>
    <t>DT tính đến nhịp cột 13,56 m2
Bồi thường 100%</t>
  </si>
  <si>
    <t>DT tính đến nhịp cột 17,10 m2
Hỗ trợ 40%</t>
  </si>
  <si>
    <t>DT tính đến nhịp cột 20,88 m2
Bồi thường 100%</t>
  </si>
  <si>
    <t xml:space="preserve"> xây dựng trên đất của ông Lê Thanh Dũng (đất CLN)</t>
  </si>
  <si>
    <t>Xây dựng công trình trên đất của ông Đinh Xuân Hùng (đất CLN)</t>
  </si>
  <si>
    <t>DT tính đến hết nhịp cột 17,63 m2
không bồi thường</t>
  </si>
  <si>
    <t>xây dựng trên đất bà Đỗ Thị Trình
(đất CLN)</t>
  </si>
  <si>
    <t>DT tính đến nhịp cột 36m2
không bồi thường</t>
  </si>
  <si>
    <t>DT tính đến nhịp cột 13,68m2
không bồi thường</t>
  </si>
  <si>
    <t>xây dựng trên đất ông Trương Đình Cử 
(đất CLN)</t>
  </si>
  <si>
    <t>DT tính đến nhịp cột 18,86m2
Không bòi thường</t>
  </si>
  <si>
    <t>xây dựng trên đất của ông Đỗ Văn Tú (ông Tú đã chết) Đất CLN</t>
  </si>
  <si>
    <t>DT tính đến nhịp cột 23,85 m2
Chưa xác định được năm xây dựng</t>
  </si>
  <si>
    <t>xây dựng trên đất ông Nguyễn Quốc Công (đất ODT)</t>
  </si>
  <si>
    <t>DT tính hết nhịp cột 25,34 m2
Bồi thường 100%</t>
  </si>
  <si>
    <t>Mái che. Xây dựng năm 1994 do hộ dân thông tin.
Kết cấu: Khung sắt tiền chế, mái lợp tôn, có 01 bên vách, (xà gồ gỗ + khung sắt), nền lát gạch terrazzo, cửa sắt kéo.</t>
  </si>
  <si>
    <t>10 cây hoa màu gà đường kính 1cm cao 0,5m (tương đương 2m2)</t>
  </si>
  <si>
    <t>TỔNG KINH PHÍ BỒI THƯỜNG, HỖ TRỢ CHO NGƯỜI DÂN</t>
  </si>
  <si>
    <t>KINH PHÍ DỰ PHÒNG 10%</t>
  </si>
  <si>
    <t>TỔNG KINH PHÍ THỰC HIỆN DỰ ÁN</t>
  </si>
  <si>
    <r>
      <t xml:space="preserve">Hỗ trợ di dời cửa </t>
    </r>
    <r>
      <rPr>
        <sz val="12"/>
        <rFont val="Times New Roman"/>
        <family val="1"/>
      </rPr>
      <t>sắt</t>
    </r>
    <r>
      <rPr>
        <sz val="12"/>
        <rFont val="Times New Roman"/>
        <family val="1"/>
        <charset val="163"/>
      </rPr>
      <t xml:space="preserve"> kéo</t>
    </r>
  </si>
  <si>
    <r>
      <t>Đc:</t>
    </r>
    <r>
      <rPr>
        <sz val="12"/>
        <rFont val="Times New Roman"/>
        <family val="1"/>
      </rPr>
      <t xml:space="preserve"> khu phố Ninh Trung, phường Ninh Sơn, thành phố Tây Ninh, tỉnh Tây Ninh</t>
    </r>
  </si>
  <si>
    <r>
      <t>Thửa đất hiện trạng số 371,23,39
(Trích từ thửa đất số</t>
    </r>
    <r>
      <rPr>
        <sz val="12"/>
        <rFont val="Times New Roman"/>
        <family val="1"/>
      </rPr>
      <t xml:space="preserve"> 135, 105, 120 tờ BĐĐC số 37</t>
    </r>
  </si>
  <si>
    <r>
      <t>Thửa đất hiện trạng số  112
(Trích từ thửa đất số</t>
    </r>
    <r>
      <rPr>
        <sz val="12"/>
        <rFont val="Times New Roman"/>
        <family val="1"/>
      </rPr>
      <t xml:space="preserve"> 248 tờ BĐĐC số 36</t>
    </r>
  </si>
  <si>
    <r>
      <t>Thửa đất hiện trạng số  184
(Trích từ thửa đất số</t>
    </r>
    <r>
      <rPr>
        <sz val="12"/>
        <rFont val="Times New Roman"/>
        <family val="1"/>
      </rPr>
      <t xml:space="preserve"> 294 tờ BĐĐC số 36</t>
    </r>
  </si>
  <si>
    <r>
      <t xml:space="preserve">Thửa đất hiện trạng số </t>
    </r>
    <r>
      <rPr>
        <sz val="12"/>
        <rFont val="Times New Roman"/>
        <family val="1"/>
      </rPr>
      <t>162</t>
    </r>
    <r>
      <rPr>
        <sz val="12"/>
        <rFont val="Times New Roman"/>
        <family val="1"/>
        <charset val="163"/>
      </rPr>
      <t xml:space="preserve">
(Trích từ thửa đất số </t>
    </r>
    <r>
      <rPr>
        <sz val="12"/>
        <rFont val="Times New Roman"/>
        <family val="1"/>
      </rPr>
      <t>354,</t>
    </r>
    <r>
      <rPr>
        <sz val="12"/>
        <rFont val="Times New Roman"/>
        <family val="1"/>
        <charset val="163"/>
      </rPr>
      <t xml:space="preserve"> tờ BĐĐC số 02)</t>
    </r>
  </si>
  <si>
    <r>
      <t xml:space="preserve">Thửa đất hiện trạng số </t>
    </r>
    <r>
      <rPr>
        <sz val="12"/>
        <rFont val="Times New Roman"/>
        <family val="1"/>
      </rPr>
      <t>172</t>
    </r>
    <r>
      <rPr>
        <sz val="12"/>
        <rFont val="Times New Roman"/>
        <family val="1"/>
        <charset val="163"/>
      </rPr>
      <t xml:space="preserve">
(Trích từ thửa đất số </t>
    </r>
    <r>
      <rPr>
        <sz val="12"/>
        <rFont val="Times New Roman"/>
        <family val="1"/>
      </rPr>
      <t>424</t>
    </r>
    <r>
      <rPr>
        <sz val="12"/>
        <rFont val="Times New Roman"/>
        <family val="1"/>
        <charset val="163"/>
      </rPr>
      <t>, tờ BĐĐC số 36)</t>
    </r>
  </si>
  <si>
    <r>
      <t xml:space="preserve">Thửa đất hiện trạng số </t>
    </r>
    <r>
      <rPr>
        <sz val="12"/>
        <rFont val="Times New Roman"/>
        <family val="1"/>
      </rPr>
      <t>268</t>
    </r>
    <r>
      <rPr>
        <sz val="12"/>
        <rFont val="Times New Roman"/>
        <family val="1"/>
        <charset val="163"/>
      </rPr>
      <t xml:space="preserve">
(Trích từ thửa đất số 45 tờ BĐĐC số 42)</t>
    </r>
  </si>
  <si>
    <t>DT tính từ ranh 27 đến nhịp cột 18,0 m2
Xây dựng trên đất ODT năm 2016, hỗ trợ 40%</t>
  </si>
  <si>
    <t>DT tính từ ranh 27 đến nhịp cột 14,4 m2</t>
  </si>
  <si>
    <t>DT tính bồi thường đến nhịp cột 10,4 m2
Hỗ trợ 40%</t>
  </si>
  <si>
    <t>DT tính từ ranh 31 đến nhịp cột 3,0 m2
Hỗ trợ 40%</t>
  </si>
  <si>
    <t>DT tính từ ranh 31 đến nhịp cột 3,0 m2</t>
  </si>
  <si>
    <t>DT tính từ ranh 27 đến nhịp cột 12,52 m2
Chưa xác định được năm xây dựng</t>
  </si>
  <si>
    <t>DT tính từ ranh 27 đến nhịp cột 7,65 m2
Bồi thường 100%</t>
  </si>
  <si>
    <t>DT tính từ ranh 27 đến nhịp cột 11,20 m2
Bồi thường 100%</t>
  </si>
  <si>
    <t>DT tính từ ranh 27 đến nhịp cột 25,48 m2</t>
  </si>
  <si>
    <t>Nhà cấp 4: Xây dựng năm 1990 không có giấy phép xây dụng
Kết cấu: Móng BTCT, cột BTCT, tường xây gạch có tô + ốp gach (quy cách 20cm x 25cm), mái lợp tôn, trần tôn lạnh, nền gạch men (quy cách 40cm x 40cm), của săt cuốn + khung nhôm kính, có phòng vệ sinh bên trong</t>
  </si>
  <si>
    <t>DT tính từ ranh 27 đến nhịp cột 12,8 m2</t>
  </si>
  <si>
    <r>
      <t xml:space="preserve">Thửa đất hiện trạng số </t>
    </r>
    <r>
      <rPr>
        <sz val="12"/>
        <rFont val="Times New Roman"/>
        <family val="1"/>
      </rPr>
      <t>202</t>
    </r>
    <r>
      <rPr>
        <sz val="12"/>
        <rFont val="Times New Roman"/>
        <family val="1"/>
        <charset val="163"/>
      </rPr>
      <t xml:space="preserve">
(Trích từ thửa đất số 39 tờ BĐĐC số 42)</t>
    </r>
  </si>
  <si>
    <t>Nhà cấp 4: Xây dựng năm 1995 sửa chữa năm 2014 không có giấy phép xây dựng
Kết cấu: Móng gạch + BTCT, cột gạch + BTCT, tường xây gạch có tô sơn P, mái tôn, trần tôn lạnh, cửa sắt cuốn, nền gạch men, có phòng vệ sinh bên trong</t>
  </si>
  <si>
    <t>DT tính từ ranh 27 đến nhịp cột  7,5 m2
Hỗ trợ 40%</t>
  </si>
  <si>
    <t>DT tính từ ranh 27 đến nhịp cột  6,08 m2
Bồi thường 100%</t>
  </si>
  <si>
    <t>DT tính từ ranh 27 đến nhịp cột 11,54 m2
Không bồi thường</t>
  </si>
  <si>
    <t>DT tính từ ranh 27 đến nhịp cột 7,0m2
Hỗ trợ 40%</t>
  </si>
  <si>
    <t>DT tính từ ranh 27 đến nhịp cột  31,5 m2
Hỗ trợ 40%</t>
  </si>
  <si>
    <t>DT tính từ ranh 27 đến nhịp cột  11,4 m2
Hỗ trợ 40%</t>
  </si>
  <si>
    <t>DT tính từ ranh 27 đến nhịp cột  21,16 m2
Hỗ trợ 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</si>
</sst>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0.000"/>
  </numFmts>
  <fonts count="31" x14ac:knownFonts="1">
    <font>
      <sz val="11"/>
      <color theme="1"/>
      <name val="Calibri"/>
      <family val="2"/>
      <charset val="163"/>
      <scheme val="minor"/>
    </font>
    <font>
      <sz val="11"/>
      <color theme="1"/>
      <name val="Calibri"/>
      <family val="2"/>
      <charset val="163"/>
      <scheme val="minor"/>
    </font>
    <font>
      <sz val="13"/>
      <name val="Times New Roman"/>
      <family val="1"/>
    </font>
    <font>
      <b/>
      <sz val="13"/>
      <name val="Times New Roman"/>
      <family val="1"/>
      <charset val="163"/>
    </font>
    <font>
      <sz val="13"/>
      <name val="Times New Roman"/>
      <family val="1"/>
      <charset val="163"/>
    </font>
    <font>
      <b/>
      <sz val="13"/>
      <name val="Times New Roman"/>
      <family val="1"/>
    </font>
    <font>
      <sz val="11"/>
      <name val="Times New Roman"/>
      <family val="1"/>
    </font>
    <font>
      <sz val="12"/>
      <name val="Times New Roman"/>
      <family val="1"/>
      <charset val="163"/>
    </font>
    <font>
      <i/>
      <sz val="12"/>
      <name val="Times New Roman"/>
      <family val="1"/>
    </font>
    <font>
      <b/>
      <sz val="11"/>
      <name val="Times New Roman"/>
      <family val="1"/>
    </font>
    <font>
      <b/>
      <sz val="12"/>
      <name val="Times New Roman"/>
      <family val="1"/>
      <charset val="163"/>
    </font>
    <font>
      <b/>
      <sz val="12"/>
      <name val="Times New Roman"/>
      <family val="1"/>
    </font>
    <font>
      <vertAlign val="superscript"/>
      <sz val="12"/>
      <name val="Times New Roman"/>
      <family val="1"/>
    </font>
    <font>
      <vertAlign val="superscript"/>
      <sz val="11"/>
      <name val="Times New Roman"/>
      <family val="1"/>
    </font>
    <font>
      <b/>
      <i/>
      <sz val="12"/>
      <name val="Times New Roman"/>
      <family val="1"/>
    </font>
    <font>
      <sz val="12"/>
      <name val="Times New Roman"/>
      <family val="1"/>
    </font>
    <font>
      <b/>
      <i/>
      <sz val="12"/>
      <name val="Times New Roman"/>
      <family val="1"/>
      <charset val="163"/>
    </font>
    <font>
      <b/>
      <i/>
      <sz val="11"/>
      <name val="Times New Roman"/>
      <family val="1"/>
    </font>
    <font>
      <sz val="8"/>
      <name val="Calibri"/>
      <family val="2"/>
      <charset val="163"/>
      <scheme val="minor"/>
    </font>
    <font>
      <sz val="11"/>
      <name val="Times New Roman"/>
      <family val="1"/>
      <charset val="163"/>
    </font>
    <font>
      <sz val="10"/>
      <name val="Arial"/>
      <family val="2"/>
    </font>
    <font>
      <sz val="12"/>
      <name val="Times New Roman"/>
      <family val="2"/>
    </font>
    <font>
      <vertAlign val="superscript"/>
      <sz val="12"/>
      <name val="Times New Roman"/>
      <family val="1"/>
      <charset val="163"/>
    </font>
    <font>
      <sz val="12"/>
      <color theme="1"/>
      <name val="Times New Roman"/>
      <family val="2"/>
      <charset val="163"/>
    </font>
    <font>
      <b/>
      <i/>
      <sz val="11"/>
      <name val="Times New Roman"/>
      <family val="1"/>
      <charset val="163"/>
    </font>
    <font>
      <b/>
      <sz val="11"/>
      <name val="Times New Roman"/>
      <family val="1"/>
      <charset val="163"/>
    </font>
    <font>
      <sz val="11"/>
      <name val="Calibri"/>
      <family val="2"/>
      <charset val="163"/>
      <scheme val="minor"/>
    </font>
    <font>
      <b/>
      <sz val="11"/>
      <name val="Calibri"/>
      <family val="2"/>
      <charset val="163"/>
      <scheme val="minor"/>
    </font>
    <font>
      <b/>
      <sz val="14"/>
      <name val="Times New Roman"/>
      <family val="1"/>
    </font>
    <font>
      <sz val="14"/>
      <name val="Times New Roman"/>
      <family val="1"/>
    </font>
    <font>
      <sz val="12"/>
      <name val="Calibri"/>
      <family val="2"/>
      <charset val="163"/>
      <scheme val="minor"/>
    </font>
  </fonts>
  <fills count="2">
    <fill>
      <patternFill patternType="none"/>
    </fill>
    <fill>
      <patternFill patternType="gray125"/>
    </fill>
  </fills>
  <borders count="6">
    <border>
      <left/>
      <right/>
      <top/>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43" fontId="1" fillId="0" borderId="0" applyFont="0" applyFill="0" applyBorder="0" applyAlignment="0" applyProtection="0"/>
    <xf numFmtId="0" fontId="20" fillId="0" borderId="0"/>
  </cellStyleXfs>
  <cellXfs count="209">
    <xf numFmtId="0" fontId="0" fillId="0" borderId="0" xfId="0"/>
    <xf numFmtId="4" fontId="7" fillId="0" borderId="2" xfId="1" applyNumberFormat="1" applyFont="1" applyFill="1" applyBorder="1" applyAlignment="1">
      <alignment horizontal="right" vertical="center"/>
    </xf>
    <xf numFmtId="3" fontId="7" fillId="0" borderId="2" xfId="1" applyNumberFormat="1" applyFont="1" applyFill="1" applyBorder="1" applyAlignment="1">
      <alignment vertical="center"/>
    </xf>
    <xf numFmtId="4" fontId="15" fillId="0" borderId="2" xfId="1" applyNumberFormat="1" applyFont="1" applyFill="1" applyBorder="1" applyAlignment="1">
      <alignment horizontal="right" vertical="center"/>
    </xf>
    <xf numFmtId="3" fontId="15" fillId="0" borderId="2" xfId="1" applyNumberFormat="1" applyFont="1" applyFill="1" applyBorder="1" applyAlignment="1">
      <alignment vertical="center"/>
    </xf>
    <xf numFmtId="4" fontId="7" fillId="0" borderId="3" xfId="1" applyNumberFormat="1" applyFont="1" applyFill="1" applyBorder="1" applyAlignment="1">
      <alignment horizontal="right" vertical="center"/>
    </xf>
    <xf numFmtId="3" fontId="7" fillId="0" borderId="3" xfId="1" applyNumberFormat="1" applyFont="1" applyFill="1" applyBorder="1" applyAlignment="1">
      <alignment vertical="center"/>
    </xf>
    <xf numFmtId="0" fontId="2" fillId="0" borderId="0" xfId="0" applyFont="1" applyFill="1" applyAlignment="1">
      <alignment horizontal="center" vertical="center"/>
    </xf>
    <xf numFmtId="0" fontId="3" fillId="0" borderId="0" xfId="0" applyFont="1" applyFill="1" applyAlignment="1">
      <alignment horizontal="center"/>
    </xf>
    <xf numFmtId="3" fontId="3" fillId="0" borderId="0" xfId="0" applyNumberFormat="1" applyFont="1" applyFill="1" applyAlignment="1">
      <alignment horizontal="center"/>
    </xf>
    <xf numFmtId="0" fontId="4" fillId="0" borderId="0" xfId="0" applyFont="1" applyFill="1"/>
    <xf numFmtId="0" fontId="5" fillId="0" borderId="0" xfId="0" applyFont="1" applyFill="1" applyAlignment="1">
      <alignment horizontal="center"/>
    </xf>
    <xf numFmtId="0" fontId="4" fillId="0" borderId="0" xfId="0" applyFont="1" applyFill="1" applyAlignment="1">
      <alignment horizontal="center"/>
    </xf>
    <xf numFmtId="4" fontId="4" fillId="0" borderId="0" xfId="0" applyNumberFormat="1" applyFont="1" applyFill="1" applyAlignment="1">
      <alignment horizontal="right"/>
    </xf>
    <xf numFmtId="3" fontId="7" fillId="0" borderId="0" xfId="0" applyNumberFormat="1" applyFont="1" applyFill="1" applyAlignment="1">
      <alignment horizontal="right"/>
    </xf>
    <xf numFmtId="3" fontId="4" fillId="0" borderId="0" xfId="0" applyNumberFormat="1" applyFont="1" applyFill="1" applyAlignment="1">
      <alignment horizontal="right"/>
    </xf>
    <xf numFmtId="49" fontId="6" fillId="0" borderId="0" xfId="0" applyNumberFormat="1" applyFont="1" applyFill="1" applyAlignment="1">
      <alignment horizontal="left"/>
    </xf>
    <xf numFmtId="0" fontId="3" fillId="0" borderId="0" xfId="0" applyFont="1" applyFill="1" applyAlignment="1">
      <alignment horizontal="center" vertical="center"/>
    </xf>
    <xf numFmtId="0" fontId="5" fillId="0" borderId="0" xfId="0" applyFont="1" applyFill="1" applyAlignment="1">
      <alignment horizontal="center" vertical="center"/>
    </xf>
    <xf numFmtId="3" fontId="3" fillId="0" borderId="0" xfId="0" applyNumberFormat="1" applyFont="1" applyFill="1" applyAlignment="1">
      <alignment horizontal="center" vertical="center"/>
    </xf>
    <xf numFmtId="0" fontId="7" fillId="0" borderId="0" xfId="0" applyFont="1" applyFill="1"/>
    <xf numFmtId="0" fontId="11" fillId="0" borderId="4" xfId="0" applyFont="1" applyFill="1" applyBorder="1" applyAlignment="1">
      <alignment horizontal="center" vertical="center"/>
    </xf>
    <xf numFmtId="0" fontId="11" fillId="0" borderId="4" xfId="0" applyFont="1" applyFill="1" applyBorder="1" applyAlignment="1">
      <alignment horizontal="center" vertical="center" wrapText="1"/>
    </xf>
    <xf numFmtId="0" fontId="10" fillId="0" borderId="4" xfId="0" applyFont="1" applyFill="1" applyBorder="1" applyAlignment="1">
      <alignment horizontal="center" vertical="center"/>
    </xf>
    <xf numFmtId="4" fontId="10" fillId="0" borderId="4" xfId="0" applyNumberFormat="1" applyFont="1" applyFill="1" applyBorder="1" applyAlignment="1">
      <alignment horizontal="center" vertical="center" wrapText="1"/>
    </xf>
    <xf numFmtId="3" fontId="10" fillId="0" borderId="4" xfId="0" applyNumberFormat="1" applyFont="1" applyFill="1" applyBorder="1" applyAlignment="1">
      <alignment horizontal="center" vertical="center" wrapText="1"/>
    </xf>
    <xf numFmtId="49" fontId="9" fillId="0" borderId="4" xfId="0" applyNumberFormat="1" applyFont="1" applyFill="1" applyBorder="1" applyAlignment="1">
      <alignment horizontal="center" vertical="center"/>
    </xf>
    <xf numFmtId="0" fontId="10" fillId="0" borderId="0" xfId="0" applyFont="1" applyFill="1" applyAlignment="1">
      <alignment horizontal="center" vertical="center"/>
    </xf>
    <xf numFmtId="0" fontId="11" fillId="0" borderId="1" xfId="0" applyFont="1" applyFill="1" applyBorder="1" applyAlignment="1">
      <alignment horizontal="center" vertical="center"/>
    </xf>
    <xf numFmtId="0" fontId="10" fillId="0" borderId="1" xfId="0" applyFont="1" applyFill="1" applyBorder="1" applyAlignment="1">
      <alignment horizontal="left" vertical="center" wrapText="1"/>
    </xf>
    <xf numFmtId="0" fontId="7" fillId="0" borderId="1" xfId="0" applyFont="1" applyFill="1" applyBorder="1" applyAlignment="1">
      <alignment vertical="center" wrapText="1"/>
    </xf>
    <xf numFmtId="0" fontId="7" fillId="0" borderId="1" xfId="0" applyFont="1" applyFill="1" applyBorder="1" applyAlignment="1">
      <alignment horizontal="center" vertical="center"/>
    </xf>
    <xf numFmtId="4" fontId="7" fillId="0" borderId="1" xfId="0" applyNumberFormat="1" applyFont="1" applyFill="1" applyBorder="1" applyAlignment="1">
      <alignment horizontal="right" vertical="center"/>
    </xf>
    <xf numFmtId="3" fontId="7" fillId="0" borderId="1" xfId="0" applyNumberFormat="1" applyFont="1" applyFill="1" applyBorder="1" applyAlignment="1">
      <alignment horizontal="right" vertical="center"/>
    </xf>
    <xf numFmtId="49" fontId="6" fillId="0" borderId="1" xfId="0" applyNumberFormat="1" applyFont="1" applyFill="1" applyBorder="1" applyAlignment="1">
      <alignment horizontal="left" vertical="center" wrapText="1"/>
    </xf>
    <xf numFmtId="0" fontId="7" fillId="0" borderId="0" xfId="0" applyFont="1" applyFill="1" applyAlignment="1">
      <alignment vertical="center"/>
    </xf>
    <xf numFmtId="0" fontId="11" fillId="0" borderId="2" xfId="0" applyFont="1" applyFill="1" applyBorder="1" applyAlignment="1">
      <alignment horizontal="center" vertical="center"/>
    </xf>
    <xf numFmtId="0" fontId="15" fillId="0" borderId="2" xfId="0" applyFont="1" applyFill="1" applyBorder="1" applyAlignment="1">
      <alignment horizontal="left" vertical="center" wrapText="1"/>
    </xf>
    <xf numFmtId="0" fontId="11" fillId="0" borderId="2" xfId="0" applyFont="1" applyFill="1" applyBorder="1" applyAlignment="1">
      <alignment vertical="center" wrapText="1"/>
    </xf>
    <xf numFmtId="0" fontId="7" fillId="0" borderId="2" xfId="0" applyFont="1" applyFill="1" applyBorder="1" applyAlignment="1">
      <alignment horizontal="center" vertical="center"/>
    </xf>
    <xf numFmtId="3" fontId="7" fillId="0" borderId="2" xfId="0" applyNumberFormat="1" applyFont="1" applyFill="1" applyBorder="1" applyAlignment="1">
      <alignment horizontal="right" vertical="center"/>
    </xf>
    <xf numFmtId="3" fontId="11" fillId="0" borderId="2" xfId="0" applyNumberFormat="1" applyFont="1" applyFill="1" applyBorder="1" applyAlignment="1">
      <alignment horizontal="right" vertical="center"/>
    </xf>
    <xf numFmtId="49" fontId="6" fillId="0" borderId="2" xfId="0" applyNumberFormat="1" applyFont="1" applyFill="1" applyBorder="1" applyAlignment="1">
      <alignment horizontal="left" vertical="center" wrapText="1"/>
    </xf>
    <xf numFmtId="0" fontId="7" fillId="0" borderId="2" xfId="0" applyFont="1" applyFill="1" applyBorder="1" applyAlignment="1">
      <alignment horizontal="justify" vertical="center"/>
    </xf>
    <xf numFmtId="4" fontId="7" fillId="0" borderId="2" xfId="0" applyNumberFormat="1" applyFont="1" applyFill="1" applyBorder="1" applyAlignment="1">
      <alignment horizontal="right" vertical="center"/>
    </xf>
    <xf numFmtId="0" fontId="6" fillId="0" borderId="2" xfId="0" applyFont="1" applyFill="1" applyBorder="1" applyAlignment="1">
      <alignment vertical="center" wrapText="1"/>
    </xf>
    <xf numFmtId="0" fontId="7" fillId="0" borderId="2" xfId="0" applyFont="1" applyFill="1" applyBorder="1" applyAlignment="1">
      <alignment horizontal="left" vertical="center" wrapText="1"/>
    </xf>
    <xf numFmtId="2" fontId="11" fillId="0" borderId="2" xfId="0" applyNumberFormat="1" applyFont="1" applyFill="1" applyBorder="1" applyAlignment="1">
      <alignment horizontal="justify" vertical="center" wrapText="1"/>
    </xf>
    <xf numFmtId="0" fontId="7" fillId="0" borderId="2" xfId="0" applyFont="1" applyFill="1" applyBorder="1" applyAlignment="1">
      <alignment vertical="center" wrapText="1"/>
    </xf>
    <xf numFmtId="3" fontId="7" fillId="0" borderId="2" xfId="0" applyNumberFormat="1" applyFont="1" applyFill="1" applyBorder="1" applyAlignment="1">
      <alignment vertical="center"/>
    </xf>
    <xf numFmtId="0" fontId="7" fillId="0" borderId="2" xfId="0" applyFont="1" applyFill="1" applyBorder="1" applyAlignment="1">
      <alignment vertical="center"/>
    </xf>
    <xf numFmtId="0" fontId="11" fillId="0" borderId="2" xfId="0" applyFont="1" applyFill="1" applyBorder="1" applyAlignment="1">
      <alignment vertical="center"/>
    </xf>
    <xf numFmtId="49" fontId="6" fillId="0" borderId="2" xfId="0" applyNumberFormat="1" applyFont="1" applyFill="1" applyBorder="1" applyAlignment="1">
      <alignment horizontal="left" vertical="center"/>
    </xf>
    <xf numFmtId="0" fontId="11" fillId="0" borderId="3" xfId="0" applyFont="1" applyFill="1" applyBorder="1" applyAlignment="1">
      <alignment horizontal="center" vertical="center"/>
    </xf>
    <xf numFmtId="0" fontId="7" fillId="0" borderId="3" xfId="0" applyFont="1" applyFill="1" applyBorder="1" applyAlignment="1">
      <alignment horizontal="left" vertical="center" wrapText="1"/>
    </xf>
    <xf numFmtId="0" fontId="14" fillId="0" borderId="3" xfId="0" applyFont="1" applyFill="1" applyBorder="1" applyAlignment="1">
      <alignment vertical="center" wrapText="1"/>
    </xf>
    <xf numFmtId="0" fontId="7" fillId="0" borderId="3" xfId="0" applyFont="1" applyFill="1" applyBorder="1" applyAlignment="1">
      <alignment horizontal="center" vertical="center"/>
    </xf>
    <xf numFmtId="3" fontId="7" fillId="0" borderId="3" xfId="0" applyNumberFormat="1" applyFont="1" applyFill="1" applyBorder="1" applyAlignment="1">
      <alignment horizontal="right" vertical="center"/>
    </xf>
    <xf numFmtId="49" fontId="6" fillId="0" borderId="3" xfId="0" applyNumberFormat="1" applyFont="1" applyFill="1" applyBorder="1" applyAlignment="1">
      <alignment horizontal="left" vertical="center" wrapText="1"/>
    </xf>
    <xf numFmtId="0" fontId="10" fillId="0" borderId="0" xfId="0" applyFont="1" applyFill="1" applyAlignment="1">
      <alignment vertical="center"/>
    </xf>
    <xf numFmtId="0" fontId="11" fillId="0" borderId="1" xfId="0" applyFont="1" applyFill="1" applyBorder="1" applyAlignment="1">
      <alignment horizontal="left" vertical="center" wrapText="1"/>
    </xf>
    <xf numFmtId="0" fontId="11" fillId="0" borderId="1" xfId="0" applyFont="1" applyFill="1" applyBorder="1" applyAlignment="1">
      <alignment vertical="center" wrapText="1"/>
    </xf>
    <xf numFmtId="3" fontId="11" fillId="0" borderId="1" xfId="0" applyNumberFormat="1" applyFont="1" applyFill="1" applyBorder="1" applyAlignment="1">
      <alignment horizontal="right" vertical="center"/>
    </xf>
    <xf numFmtId="0" fontId="15" fillId="0" borderId="2" xfId="0" applyFont="1" applyFill="1" applyBorder="1" applyAlignment="1">
      <alignment vertical="center" wrapText="1"/>
    </xf>
    <xf numFmtId="0" fontId="11" fillId="0" borderId="2" xfId="0" applyFont="1" applyFill="1" applyBorder="1" applyAlignment="1">
      <alignment horizontal="left" vertical="center" wrapText="1"/>
    </xf>
    <xf numFmtId="2" fontId="7" fillId="0" borderId="2" xfId="0" applyNumberFormat="1" applyFont="1" applyFill="1" applyBorder="1" applyAlignment="1">
      <alignment horizontal="right" vertical="center"/>
    </xf>
    <xf numFmtId="2" fontId="15" fillId="0" borderId="2" xfId="0" applyNumberFormat="1" applyFont="1" applyFill="1" applyBorder="1" applyAlignment="1">
      <alignment horizontal="justify" vertical="center" wrapText="1"/>
    </xf>
    <xf numFmtId="0" fontId="7" fillId="0" borderId="3" xfId="0" applyFont="1" applyFill="1" applyBorder="1" applyAlignment="1">
      <alignment vertical="center"/>
    </xf>
    <xf numFmtId="49" fontId="6" fillId="0" borderId="3" xfId="0" applyNumberFormat="1" applyFont="1" applyFill="1" applyBorder="1" applyAlignment="1">
      <alignment horizontal="left" vertical="center"/>
    </xf>
    <xf numFmtId="49" fontId="19" fillId="0" borderId="2" xfId="0" applyNumberFormat="1" applyFont="1" applyFill="1" applyBorder="1" applyAlignment="1">
      <alignment horizontal="left" vertical="center"/>
    </xf>
    <xf numFmtId="0" fontId="10" fillId="0" borderId="2" xfId="0" applyFont="1" applyFill="1" applyBorder="1" applyAlignment="1">
      <alignment horizontal="left" vertical="center" wrapText="1"/>
    </xf>
    <xf numFmtId="4" fontId="7" fillId="0" borderId="3" xfId="0" applyNumberFormat="1" applyFont="1" applyFill="1" applyBorder="1" applyAlignment="1">
      <alignment horizontal="right" vertical="center"/>
    </xf>
    <xf numFmtId="49" fontId="21" fillId="0" borderId="2" xfId="2" applyNumberFormat="1" applyFont="1" applyFill="1" applyBorder="1" applyAlignment="1">
      <alignment horizontal="left" vertical="center" wrapText="1"/>
    </xf>
    <xf numFmtId="4" fontId="15" fillId="0" borderId="2" xfId="0" applyNumberFormat="1" applyFont="1" applyFill="1" applyBorder="1" applyAlignment="1">
      <alignment horizontal="right" vertical="center"/>
    </xf>
    <xf numFmtId="3" fontId="15" fillId="0" borderId="2" xfId="0" applyNumberFormat="1" applyFont="1" applyFill="1" applyBorder="1" applyAlignment="1">
      <alignment horizontal="right" vertical="center"/>
    </xf>
    <xf numFmtId="0" fontId="15" fillId="0" borderId="2" xfId="0" applyFont="1" applyFill="1" applyBorder="1" applyAlignment="1">
      <alignment vertical="center"/>
    </xf>
    <xf numFmtId="0" fontId="15" fillId="0" borderId="2" xfId="0" applyFont="1" applyFill="1" applyBorder="1" applyAlignment="1">
      <alignment horizontal="center" vertical="center"/>
    </xf>
    <xf numFmtId="0" fontId="15" fillId="0" borderId="0" xfId="0" applyFont="1" applyFill="1" applyAlignment="1">
      <alignment vertical="center"/>
    </xf>
    <xf numFmtId="0" fontId="15" fillId="0" borderId="1" xfId="0" applyFont="1" applyFill="1" applyBorder="1" applyAlignment="1">
      <alignment vertical="center" wrapText="1"/>
    </xf>
    <xf numFmtId="0" fontId="15" fillId="0" borderId="1" xfId="0" applyFont="1" applyFill="1" applyBorder="1" applyAlignment="1">
      <alignment horizontal="center" vertical="center"/>
    </xf>
    <xf numFmtId="4" fontId="15" fillId="0" borderId="1" xfId="0" applyNumberFormat="1" applyFont="1" applyFill="1" applyBorder="1" applyAlignment="1">
      <alignment horizontal="right" vertical="center"/>
    </xf>
    <xf numFmtId="3" fontId="15" fillId="0" borderId="1" xfId="0" applyNumberFormat="1" applyFont="1" applyFill="1" applyBorder="1" applyAlignment="1">
      <alignment horizontal="right" vertical="center"/>
    </xf>
    <xf numFmtId="2" fontId="15" fillId="0" borderId="3" xfId="0" applyNumberFormat="1" applyFont="1" applyFill="1" applyBorder="1" applyAlignment="1">
      <alignment horizontal="justify" vertical="center" wrapText="1"/>
    </xf>
    <xf numFmtId="0" fontId="15" fillId="0" borderId="3" xfId="0" applyFont="1" applyFill="1" applyBorder="1" applyAlignment="1">
      <alignment horizontal="center" vertical="center"/>
    </xf>
    <xf numFmtId="4" fontId="15" fillId="0" borderId="3" xfId="0" applyNumberFormat="1" applyFont="1" applyFill="1" applyBorder="1" applyAlignment="1">
      <alignment horizontal="right" vertical="center"/>
    </xf>
    <xf numFmtId="0" fontId="6" fillId="0" borderId="3" xfId="0" applyFont="1" applyFill="1" applyBorder="1" applyAlignment="1">
      <alignment vertical="center" wrapText="1"/>
    </xf>
    <xf numFmtId="0" fontId="7" fillId="0" borderId="2" xfId="0" applyFont="1" applyFill="1" applyBorder="1" applyAlignment="1">
      <alignment horizontal="justify" vertical="center" wrapText="1"/>
    </xf>
    <xf numFmtId="4" fontId="7" fillId="0" borderId="2" xfId="0" applyNumberFormat="1" applyFont="1" applyFill="1" applyBorder="1" applyAlignment="1">
      <alignment horizontal="right" vertical="center" wrapText="1"/>
    </xf>
    <xf numFmtId="0" fontId="11"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3" fontId="15" fillId="0" borderId="1" xfId="0" applyNumberFormat="1" applyFont="1" applyFill="1" applyBorder="1" applyAlignment="1">
      <alignment vertical="center" wrapText="1"/>
    </xf>
    <xf numFmtId="49" fontId="11" fillId="0" borderId="2" xfId="0" applyNumberFormat="1" applyFont="1" applyFill="1" applyBorder="1" applyAlignment="1">
      <alignment horizontal="center" vertical="center"/>
    </xf>
    <xf numFmtId="49" fontId="15" fillId="0" borderId="2" xfId="0" applyNumberFormat="1" applyFont="1" applyFill="1" applyBorder="1" applyAlignment="1">
      <alignment horizontal="center" vertical="center"/>
    </xf>
    <xf numFmtId="49" fontId="15" fillId="0" borderId="2" xfId="0" applyNumberFormat="1" applyFont="1" applyFill="1" applyBorder="1" applyAlignment="1">
      <alignment horizontal="left" vertical="center"/>
    </xf>
    <xf numFmtId="3" fontId="15" fillId="0" borderId="2" xfId="0" applyNumberFormat="1" applyFont="1" applyFill="1" applyBorder="1" applyAlignment="1">
      <alignment horizontal="left" vertical="center"/>
    </xf>
    <xf numFmtId="49" fontId="11" fillId="0" borderId="2" xfId="0" applyNumberFormat="1" applyFont="1" applyFill="1" applyBorder="1" applyAlignment="1">
      <alignment horizontal="center" vertical="center" wrapText="1"/>
    </xf>
    <xf numFmtId="49" fontId="15" fillId="0" borderId="2" xfId="0" applyNumberFormat="1" applyFont="1" applyFill="1" applyBorder="1" applyAlignment="1">
      <alignment horizontal="center" vertical="center" wrapText="1"/>
    </xf>
    <xf numFmtId="49" fontId="15" fillId="0" borderId="2" xfId="0" applyNumberFormat="1" applyFont="1" applyFill="1" applyBorder="1" applyAlignment="1">
      <alignment horizontal="right" vertical="center" wrapText="1"/>
    </xf>
    <xf numFmtId="49" fontId="15" fillId="0" borderId="2" xfId="0" applyNumberFormat="1" applyFont="1" applyFill="1" applyBorder="1" applyAlignment="1">
      <alignment horizontal="left" vertical="center" wrapText="1"/>
    </xf>
    <xf numFmtId="3" fontId="15" fillId="0" borderId="2" xfId="0" applyNumberFormat="1" applyFont="1" applyFill="1" applyBorder="1" applyAlignment="1">
      <alignment horizontal="left" vertical="center" wrapText="1"/>
    </xf>
    <xf numFmtId="4" fontId="7" fillId="0" borderId="1" xfId="0" applyNumberFormat="1" applyFont="1" applyFill="1" applyBorder="1" applyAlignment="1">
      <alignment horizontal="right" vertical="center" wrapText="1"/>
    </xf>
    <xf numFmtId="2" fontId="6" fillId="0" borderId="2" xfId="0" applyNumberFormat="1" applyFont="1" applyFill="1" applyBorder="1" applyAlignment="1">
      <alignment horizontal="justify" vertical="center" wrapText="1"/>
    </xf>
    <xf numFmtId="49" fontId="21" fillId="0" borderId="3" xfId="2" applyNumberFormat="1" applyFont="1" applyFill="1" applyBorder="1" applyAlignment="1">
      <alignment horizontal="left" vertical="center" wrapText="1"/>
    </xf>
    <xf numFmtId="3" fontId="15" fillId="0" borderId="3" xfId="0" applyNumberFormat="1" applyFont="1" applyFill="1" applyBorder="1" applyAlignment="1">
      <alignment horizontal="right" vertical="center"/>
    </xf>
    <xf numFmtId="0" fontId="7" fillId="0" borderId="0" xfId="0" applyFont="1" applyFill="1" applyAlignment="1">
      <alignment vertical="center" wrapText="1"/>
    </xf>
    <xf numFmtId="0" fontId="15" fillId="0" borderId="2" xfId="0" applyFont="1" applyFill="1" applyBorder="1" applyAlignment="1">
      <alignment horizontal="justify" vertical="center"/>
    </xf>
    <xf numFmtId="49" fontId="15" fillId="0" borderId="2" xfId="2" applyNumberFormat="1" applyFont="1" applyFill="1" applyBorder="1" applyAlignment="1">
      <alignment horizontal="left" vertical="center" wrapText="1"/>
    </xf>
    <xf numFmtId="4" fontId="11" fillId="0" borderId="2" xfId="0" applyNumberFormat="1" applyFont="1" applyFill="1" applyBorder="1" applyAlignment="1">
      <alignment horizontal="right" vertical="center"/>
    </xf>
    <xf numFmtId="49" fontId="9" fillId="0" borderId="2" xfId="0" applyNumberFormat="1" applyFont="1" applyFill="1" applyBorder="1" applyAlignment="1">
      <alignment horizontal="left" vertical="center"/>
    </xf>
    <xf numFmtId="0" fontId="11" fillId="0" borderId="0" xfId="0" applyFont="1" applyFill="1" applyAlignment="1">
      <alignment vertical="center"/>
    </xf>
    <xf numFmtId="0" fontId="8" fillId="0" borderId="2" xfId="0" applyFont="1" applyFill="1" applyBorder="1" applyAlignment="1">
      <alignment vertical="center" wrapText="1"/>
    </xf>
    <xf numFmtId="0" fontId="7" fillId="0" borderId="0" xfId="0" applyFont="1" applyFill="1" applyAlignment="1">
      <alignment wrapText="1"/>
    </xf>
    <xf numFmtId="49" fontId="19" fillId="0" borderId="1" xfId="0" applyNumberFormat="1" applyFont="1" applyFill="1" applyBorder="1" applyAlignment="1">
      <alignment horizontal="left" vertical="center" wrapText="1"/>
    </xf>
    <xf numFmtId="0" fontId="14" fillId="0" borderId="2" xfId="0" applyFont="1" applyFill="1" applyBorder="1" applyAlignment="1">
      <alignment horizontal="left" vertical="center" wrapText="1"/>
    </xf>
    <xf numFmtId="2" fontId="7" fillId="0" borderId="2" xfId="0" applyNumberFormat="1" applyFont="1" applyFill="1" applyBorder="1" applyAlignment="1">
      <alignment horizontal="center" vertical="center"/>
    </xf>
    <xf numFmtId="0" fontId="11" fillId="0" borderId="2" xfId="0" applyFont="1" applyFill="1" applyBorder="1" applyAlignment="1">
      <alignment horizontal="center" vertical="center" wrapText="1"/>
    </xf>
    <xf numFmtId="0" fontId="15" fillId="0" borderId="2" xfId="0" applyFont="1" applyFill="1" applyBorder="1" applyAlignment="1">
      <alignment horizontal="center" vertical="center" wrapText="1"/>
    </xf>
    <xf numFmtId="3" fontId="15" fillId="0" borderId="2" xfId="0" applyNumberFormat="1" applyFont="1" applyFill="1" applyBorder="1" applyAlignment="1">
      <alignment vertical="center" wrapText="1"/>
    </xf>
    <xf numFmtId="0" fontId="19" fillId="0" borderId="2" xfId="0" applyFont="1" applyFill="1" applyBorder="1" applyAlignment="1">
      <alignment vertical="center" wrapText="1"/>
    </xf>
    <xf numFmtId="3" fontId="15" fillId="0" borderId="2" xfId="0" applyNumberFormat="1" applyFont="1" applyFill="1" applyBorder="1" applyAlignment="1">
      <alignment horizontal="right" vertical="center" wrapText="1"/>
    </xf>
    <xf numFmtId="2" fontId="15" fillId="0" borderId="1" xfId="0" applyNumberFormat="1" applyFont="1" applyFill="1" applyBorder="1" applyAlignment="1">
      <alignment vertical="center" wrapText="1"/>
    </xf>
    <xf numFmtId="2" fontId="15" fillId="0" borderId="2" xfId="0" applyNumberFormat="1" applyFont="1" applyFill="1" applyBorder="1" applyAlignment="1">
      <alignment vertical="center" wrapText="1"/>
    </xf>
    <xf numFmtId="49" fontId="11" fillId="0" borderId="3" xfId="0" applyNumberFormat="1" applyFont="1" applyFill="1" applyBorder="1" applyAlignment="1">
      <alignment horizontal="center" vertical="center" wrapText="1"/>
    </xf>
    <xf numFmtId="0" fontId="7" fillId="0" borderId="3" xfId="0" applyFont="1" applyFill="1" applyBorder="1" applyAlignment="1">
      <alignment vertical="center" wrapText="1"/>
    </xf>
    <xf numFmtId="0" fontId="15" fillId="0" borderId="3" xfId="0" applyFont="1" applyFill="1" applyBorder="1" applyAlignment="1">
      <alignment horizontal="center" vertical="center" wrapText="1"/>
    </xf>
    <xf numFmtId="4" fontId="15" fillId="0" borderId="3" xfId="0" applyNumberFormat="1" applyFont="1" applyFill="1" applyBorder="1" applyAlignment="1">
      <alignment horizontal="right" vertical="center" wrapText="1"/>
    </xf>
    <xf numFmtId="3" fontId="15" fillId="0" borderId="3" xfId="0" applyNumberFormat="1" applyFont="1" applyFill="1" applyBorder="1" applyAlignment="1">
      <alignment horizontal="right" vertical="center" wrapText="1"/>
    </xf>
    <xf numFmtId="49" fontId="15" fillId="0" borderId="3" xfId="0" applyNumberFormat="1" applyFont="1" applyFill="1" applyBorder="1" applyAlignment="1">
      <alignment horizontal="left" vertical="center" wrapText="1"/>
    </xf>
    <xf numFmtId="4" fontId="15" fillId="0" borderId="2" xfId="0" applyNumberFormat="1" applyFont="1" applyFill="1" applyBorder="1" applyAlignment="1">
      <alignment horizontal="right" vertical="center" wrapText="1"/>
    </xf>
    <xf numFmtId="0" fontId="11" fillId="0" borderId="2" xfId="0" applyFont="1" applyFill="1" applyBorder="1" applyAlignment="1">
      <alignment horizontal="justify" vertical="center" wrapText="1"/>
    </xf>
    <xf numFmtId="0" fontId="15" fillId="0" borderId="3" xfId="0" applyFont="1" applyFill="1" applyBorder="1" applyAlignment="1">
      <alignment horizontal="left" vertical="center" wrapText="1"/>
    </xf>
    <xf numFmtId="0" fontId="7" fillId="0" borderId="3" xfId="0" applyFont="1" applyFill="1" applyBorder="1" applyAlignment="1">
      <alignment horizontal="justify" vertical="center" wrapText="1"/>
    </xf>
    <xf numFmtId="165" fontId="7" fillId="0" borderId="3" xfId="0" applyNumberFormat="1" applyFont="1" applyFill="1" applyBorder="1" applyAlignment="1">
      <alignment horizontal="right" vertical="center"/>
    </xf>
    <xf numFmtId="2" fontId="7" fillId="0" borderId="2" xfId="0" applyNumberFormat="1" applyFont="1" applyFill="1" applyBorder="1" applyAlignment="1">
      <alignment horizontal="justify" vertical="center" wrapText="1"/>
    </xf>
    <xf numFmtId="49" fontId="19" fillId="0" borderId="2" xfId="0" applyNumberFormat="1" applyFont="1" applyFill="1" applyBorder="1" applyAlignment="1">
      <alignment horizontal="left" vertical="center" wrapText="1"/>
    </xf>
    <xf numFmtId="2" fontId="7" fillId="0" borderId="3" xfId="0" applyNumberFormat="1" applyFont="1" applyFill="1" applyBorder="1" applyAlignment="1">
      <alignment horizontal="justify" vertical="center" wrapText="1"/>
    </xf>
    <xf numFmtId="0" fontId="7" fillId="0" borderId="3" xfId="0" applyFont="1" applyFill="1" applyBorder="1" applyAlignment="1">
      <alignment horizontal="justify" vertical="center"/>
    </xf>
    <xf numFmtId="4" fontId="7" fillId="0" borderId="1" xfId="0" applyNumberFormat="1" applyFont="1" applyFill="1" applyBorder="1" applyAlignment="1">
      <alignment horizontal="center" vertical="center" wrapText="1"/>
    </xf>
    <xf numFmtId="4" fontId="7" fillId="0" borderId="2" xfId="0" applyNumberFormat="1" applyFont="1" applyFill="1" applyBorder="1" applyAlignment="1">
      <alignment horizontal="center" vertical="center" wrapText="1"/>
    </xf>
    <xf numFmtId="0" fontId="10" fillId="0" borderId="2" xfId="0" applyFont="1" applyFill="1" applyBorder="1" applyAlignment="1">
      <alignment horizontal="center" vertical="center"/>
    </xf>
    <xf numFmtId="3" fontId="10" fillId="0" borderId="2" xfId="0" applyNumberFormat="1" applyFont="1" applyFill="1" applyBorder="1" applyAlignment="1">
      <alignment horizontal="right" vertical="center"/>
    </xf>
    <xf numFmtId="49" fontId="9" fillId="0" borderId="2" xfId="0" applyNumberFormat="1" applyFont="1" applyFill="1" applyBorder="1" applyAlignment="1">
      <alignment horizontal="left" vertical="center" wrapText="1"/>
    </xf>
    <xf numFmtId="164" fontId="15" fillId="0" borderId="1" xfId="0" applyNumberFormat="1" applyFont="1" applyFill="1" applyBorder="1" applyAlignment="1">
      <alignment vertical="center" wrapText="1"/>
    </xf>
    <xf numFmtId="164" fontId="15" fillId="0" borderId="2" xfId="0" applyNumberFormat="1" applyFont="1" applyFill="1" applyBorder="1" applyAlignment="1">
      <alignment vertical="center" wrapText="1"/>
    </xf>
    <xf numFmtId="0" fontId="14" fillId="0" borderId="2" xfId="0" applyFont="1" applyFill="1" applyBorder="1" applyAlignment="1">
      <alignment horizontal="center" vertical="center"/>
    </xf>
    <xf numFmtId="0" fontId="15" fillId="0" borderId="3" xfId="0" applyFont="1" applyFill="1" applyBorder="1" applyAlignment="1">
      <alignment vertical="center"/>
    </xf>
    <xf numFmtId="3" fontId="15" fillId="0" borderId="3" xfId="0" applyNumberFormat="1" applyFont="1" applyFill="1" applyBorder="1" applyAlignment="1">
      <alignment horizontal="left" vertical="center" wrapText="1"/>
    </xf>
    <xf numFmtId="0" fontId="14" fillId="0" borderId="1" xfId="0" applyFont="1" applyFill="1" applyBorder="1" applyAlignment="1">
      <alignment horizontal="left" vertical="center"/>
    </xf>
    <xf numFmtId="0" fontId="16" fillId="0" borderId="1" xfId="0" applyFont="1" applyFill="1" applyBorder="1" applyAlignment="1">
      <alignment vertical="center"/>
    </xf>
    <xf numFmtId="0" fontId="16" fillId="0" borderId="1" xfId="0" applyFont="1" applyFill="1" applyBorder="1" applyAlignment="1">
      <alignment horizontal="center" vertical="center"/>
    </xf>
    <xf numFmtId="4" fontId="16" fillId="0" borderId="1" xfId="0" applyNumberFormat="1" applyFont="1" applyFill="1" applyBorder="1" applyAlignment="1">
      <alignment horizontal="right" vertical="center"/>
    </xf>
    <xf numFmtId="3" fontId="16" fillId="0" borderId="1" xfId="0" applyNumberFormat="1" applyFont="1" applyFill="1" applyBorder="1" applyAlignment="1">
      <alignment horizontal="right" vertical="center"/>
    </xf>
    <xf numFmtId="49" fontId="17" fillId="0" borderId="1" xfId="0" applyNumberFormat="1" applyFont="1" applyFill="1" applyBorder="1" applyAlignment="1">
      <alignment horizontal="left" vertical="center"/>
    </xf>
    <xf numFmtId="3" fontId="15" fillId="0" borderId="2" xfId="0" applyNumberFormat="1" applyFont="1" applyFill="1" applyBorder="1" applyAlignment="1">
      <alignment vertical="center"/>
    </xf>
    <xf numFmtId="0" fontId="16" fillId="0" borderId="4" xfId="0" applyFont="1" applyFill="1" applyBorder="1" applyAlignment="1">
      <alignment horizontal="center" vertical="center"/>
    </xf>
    <xf numFmtId="0" fontId="10" fillId="0" borderId="4" xfId="0" applyFont="1" applyFill="1" applyBorder="1" applyAlignment="1">
      <alignment horizontal="left" vertical="center" wrapText="1"/>
    </xf>
    <xf numFmtId="0" fontId="16" fillId="0" borderId="4" xfId="0" applyFont="1" applyFill="1" applyBorder="1" applyAlignment="1">
      <alignment vertical="center"/>
    </xf>
    <xf numFmtId="4" fontId="16" fillId="0" borderId="4" xfId="0" applyNumberFormat="1" applyFont="1" applyFill="1" applyBorder="1" applyAlignment="1">
      <alignment horizontal="right" vertical="center"/>
    </xf>
    <xf numFmtId="3" fontId="16" fillId="0" borderId="4" xfId="0" applyNumberFormat="1" applyFont="1" applyFill="1" applyBorder="1" applyAlignment="1">
      <alignment horizontal="right" vertical="center"/>
    </xf>
    <xf numFmtId="3" fontId="10" fillId="0" borderId="4" xfId="0" applyNumberFormat="1" applyFont="1" applyFill="1" applyBorder="1" applyAlignment="1">
      <alignment horizontal="right" vertical="center"/>
    </xf>
    <xf numFmtId="49" fontId="24" fillId="0" borderId="4" xfId="0" applyNumberFormat="1" applyFont="1" applyFill="1" applyBorder="1" applyAlignment="1">
      <alignment horizontal="left" vertical="center"/>
    </xf>
    <xf numFmtId="3" fontId="15" fillId="0" borderId="2" xfId="0" applyNumberFormat="1" applyFont="1" applyFill="1" applyBorder="1"/>
    <xf numFmtId="4" fontId="7" fillId="0" borderId="2" xfId="0" applyNumberFormat="1" applyFont="1" applyFill="1" applyBorder="1" applyAlignment="1">
      <alignment horizontal="center" vertical="center"/>
    </xf>
    <xf numFmtId="0" fontId="2" fillId="0" borderId="2" xfId="0" applyFont="1" applyFill="1" applyBorder="1" applyAlignment="1">
      <alignment vertical="center" wrapText="1"/>
    </xf>
    <xf numFmtId="0" fontId="9" fillId="0" borderId="1" xfId="0" applyFont="1" applyFill="1" applyBorder="1" applyAlignment="1">
      <alignment horizontal="center" vertical="center"/>
    </xf>
    <xf numFmtId="0" fontId="9" fillId="0" borderId="1" xfId="0" applyFont="1" applyFill="1" applyBorder="1" applyAlignment="1">
      <alignment wrapText="1"/>
    </xf>
    <xf numFmtId="0" fontId="6" fillId="0" borderId="0" xfId="0" applyFont="1" applyFill="1"/>
    <xf numFmtId="0" fontId="9" fillId="0" borderId="2" xfId="0" applyFont="1" applyFill="1" applyBorder="1" applyAlignment="1">
      <alignment horizontal="center" vertical="center"/>
    </xf>
    <xf numFmtId="0" fontId="6" fillId="0" borderId="2" xfId="0" applyFont="1" applyFill="1" applyBorder="1" applyAlignment="1">
      <alignment wrapText="1"/>
    </xf>
    <xf numFmtId="0" fontId="6" fillId="0" borderId="2" xfId="0" applyFont="1" applyFill="1" applyBorder="1"/>
    <xf numFmtId="0" fontId="9" fillId="0" borderId="3" xfId="0" applyFont="1" applyFill="1" applyBorder="1" applyAlignment="1">
      <alignment horizontal="center" vertical="center"/>
    </xf>
    <xf numFmtId="0" fontId="6" fillId="0" borderId="3" xfId="0" applyFont="1" applyFill="1" applyBorder="1"/>
    <xf numFmtId="0" fontId="25" fillId="0" borderId="0" xfId="0" applyFont="1" applyFill="1"/>
    <xf numFmtId="0" fontId="26" fillId="0" borderId="0" xfId="0" applyFont="1" applyFill="1"/>
    <xf numFmtId="0" fontId="25" fillId="0" borderId="4" xfId="0" applyFont="1" applyFill="1" applyBorder="1" applyAlignment="1">
      <alignment horizontal="center" vertical="center"/>
    </xf>
    <xf numFmtId="2" fontId="10" fillId="0" borderId="4" xfId="0" applyNumberFormat="1" applyFont="1" applyFill="1" applyBorder="1" applyAlignment="1">
      <alignment horizontal="justify" vertical="center" wrapText="1"/>
    </xf>
    <xf numFmtId="4" fontId="10" fillId="0" borderId="4" xfId="0" applyNumberFormat="1" applyFont="1" applyFill="1" applyBorder="1" applyAlignment="1">
      <alignment horizontal="right" vertical="center"/>
    </xf>
    <xf numFmtId="0" fontId="27" fillId="0" borderId="0" xfId="0" applyFont="1" applyFill="1"/>
    <xf numFmtId="0" fontId="9" fillId="0" borderId="2" xfId="0" applyFont="1" applyFill="1" applyBorder="1" applyAlignment="1">
      <alignment vertical="center" wrapText="1"/>
    </xf>
    <xf numFmtId="3" fontId="2" fillId="0" borderId="0" xfId="0" applyNumberFormat="1" applyFont="1" applyFill="1" applyAlignment="1">
      <alignment vertical="center"/>
    </xf>
    <xf numFmtId="0" fontId="9" fillId="0" borderId="1" xfId="0" applyFont="1" applyFill="1" applyBorder="1" applyAlignment="1">
      <alignment vertical="center"/>
    </xf>
    <xf numFmtId="0" fontId="9" fillId="0" borderId="1" xfId="0" applyFont="1" applyFill="1" applyBorder="1" applyAlignment="1">
      <alignment vertical="center" wrapText="1"/>
    </xf>
    <xf numFmtId="3" fontId="15" fillId="0" borderId="0" xfId="0" applyNumberFormat="1" applyFont="1" applyFill="1" applyAlignment="1">
      <alignment vertical="center"/>
    </xf>
    <xf numFmtId="0" fontId="9" fillId="0" borderId="1" xfId="0" applyFont="1" applyFill="1" applyBorder="1" applyAlignment="1">
      <alignment horizontal="left" vertical="center" wrapText="1"/>
    </xf>
    <xf numFmtId="0" fontId="10" fillId="0" borderId="2" xfId="0" applyFont="1" applyFill="1" applyBorder="1" applyAlignment="1">
      <alignment vertical="center" wrapText="1"/>
    </xf>
    <xf numFmtId="0" fontId="10" fillId="0" borderId="2" xfId="0" applyFont="1" applyFill="1" applyBorder="1" applyAlignment="1">
      <alignment vertical="center"/>
    </xf>
    <xf numFmtId="49" fontId="19" fillId="0" borderId="3" xfId="0" applyNumberFormat="1" applyFont="1" applyFill="1" applyBorder="1" applyAlignment="1">
      <alignment horizontal="left" vertical="center" wrapText="1"/>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3" fontId="15" fillId="0" borderId="3" xfId="0" applyNumberFormat="1" applyFont="1" applyFill="1" applyBorder="1" applyAlignment="1">
      <alignment vertical="center"/>
    </xf>
    <xf numFmtId="4" fontId="7" fillId="0" borderId="3" xfId="0" applyNumberFormat="1" applyFont="1" applyFill="1" applyBorder="1" applyAlignment="1">
      <alignment horizontal="right" vertical="center" wrapText="1"/>
    </xf>
    <xf numFmtId="3" fontId="15" fillId="0" borderId="3" xfId="0" applyNumberFormat="1" applyFont="1" applyFill="1" applyBorder="1"/>
    <xf numFmtId="4" fontId="10" fillId="0" borderId="2" xfId="0" applyNumberFormat="1" applyFont="1" applyFill="1" applyBorder="1" applyAlignment="1">
      <alignment horizontal="right" vertical="center"/>
    </xf>
    <xf numFmtId="0" fontId="28" fillId="0" borderId="5" xfId="0" applyFont="1" applyFill="1" applyBorder="1" applyAlignment="1">
      <alignment horizontal="center" vertical="center"/>
    </xf>
    <xf numFmtId="0" fontId="29" fillId="0" borderId="5" xfId="0" applyFont="1" applyFill="1" applyBorder="1" applyAlignment="1">
      <alignment vertical="center"/>
    </xf>
    <xf numFmtId="0" fontId="28" fillId="0" borderId="5" xfId="0" applyFont="1" applyFill="1" applyBorder="1" applyAlignment="1">
      <alignment vertical="center"/>
    </xf>
    <xf numFmtId="0" fontId="29" fillId="0" borderId="5" xfId="0" applyFont="1" applyFill="1" applyBorder="1" applyAlignment="1">
      <alignment horizontal="center" vertical="center"/>
    </xf>
    <xf numFmtId="3" fontId="29" fillId="0" borderId="5" xfId="0" applyNumberFormat="1" applyFont="1" applyFill="1" applyBorder="1" applyAlignment="1">
      <alignment vertical="center"/>
    </xf>
    <xf numFmtId="3" fontId="28" fillId="0" borderId="5" xfId="0" applyNumberFormat="1" applyFont="1" applyFill="1" applyBorder="1" applyAlignment="1">
      <alignment vertical="center"/>
    </xf>
    <xf numFmtId="0" fontId="29" fillId="0" borderId="0" xfId="0" applyFont="1" applyFill="1" applyAlignment="1">
      <alignment vertical="center"/>
    </xf>
    <xf numFmtId="0" fontId="29" fillId="0" borderId="5" xfId="0" applyFont="1" applyFill="1" applyBorder="1"/>
    <xf numFmtId="0" fontId="29" fillId="0" borderId="5" xfId="0" applyFont="1" applyFill="1" applyBorder="1" applyAlignment="1">
      <alignment horizontal="center"/>
    </xf>
    <xf numFmtId="3" fontId="29" fillId="0" borderId="5" xfId="0" applyNumberFormat="1" applyFont="1" applyFill="1" applyBorder="1"/>
    <xf numFmtId="3" fontId="28" fillId="0" borderId="5" xfId="0" applyNumberFormat="1" applyFont="1" applyFill="1" applyBorder="1"/>
    <xf numFmtId="0" fontId="29" fillId="0" borderId="0" xfId="0" applyFont="1" applyFill="1"/>
    <xf numFmtId="0" fontId="9" fillId="0" borderId="0" xfId="0" applyFont="1" applyFill="1" applyAlignment="1">
      <alignment horizontal="center" vertical="center"/>
    </xf>
    <xf numFmtId="0" fontId="26" fillId="0" borderId="0" xfId="0" applyFont="1" applyFill="1" applyAlignment="1">
      <alignment horizontal="center"/>
    </xf>
    <xf numFmtId="3" fontId="30" fillId="0" borderId="0" xfId="0" applyNumberFormat="1" applyFont="1" applyFill="1"/>
    <xf numFmtId="3" fontId="26" fillId="0" borderId="0" xfId="0" applyNumberFormat="1" applyFont="1" applyFill="1"/>
  </cellXfs>
  <cellStyles count="3">
    <cellStyle name="Comma" xfId="1" builtinId="3"/>
    <cellStyle name="Normal" xfId="0" builtinId="0"/>
    <cellStyle name="Normal 2" xfId="2" xr:uid="{3AC43E7D-D132-4D07-AABA-D48A1968C42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1609725</xdr:colOff>
      <xdr:row>2</xdr:row>
      <xdr:rowOff>36195</xdr:rowOff>
    </xdr:from>
    <xdr:to>
      <xdr:col>2</xdr:col>
      <xdr:colOff>822463</xdr:colOff>
      <xdr:row>2</xdr:row>
      <xdr:rowOff>36195</xdr:rowOff>
    </xdr:to>
    <xdr:cxnSp macro="">
      <xdr:nvCxnSpPr>
        <xdr:cNvPr id="2" name="Straight Connector 1">
          <a:extLst>
            <a:ext uri="{FF2B5EF4-FFF2-40B4-BE49-F238E27FC236}">
              <a16:creationId xmlns:a16="http://schemas.microsoft.com/office/drawing/2014/main" id="{EABA91FC-3EE0-4F08-B714-EFA1C4A816D6}"/>
            </a:ext>
          </a:extLst>
        </xdr:cNvPr>
        <xdr:cNvCxnSpPr/>
      </xdr:nvCxnSpPr>
      <xdr:spPr>
        <a:xfrm>
          <a:off x="1876425" y="455295"/>
          <a:ext cx="106058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186266</xdr:colOff>
      <xdr:row>2</xdr:row>
      <xdr:rowOff>28152</xdr:rowOff>
    </xdr:from>
    <xdr:to>
      <xdr:col>6</xdr:col>
      <xdr:colOff>1274473</xdr:colOff>
      <xdr:row>2</xdr:row>
      <xdr:rowOff>28152</xdr:rowOff>
    </xdr:to>
    <xdr:cxnSp macro="">
      <xdr:nvCxnSpPr>
        <xdr:cNvPr id="3" name="Straight Connector 2">
          <a:extLst>
            <a:ext uri="{FF2B5EF4-FFF2-40B4-BE49-F238E27FC236}">
              <a16:creationId xmlns:a16="http://schemas.microsoft.com/office/drawing/2014/main" id="{D28B505C-DCEE-4C75-8EA8-326F351529BC}"/>
            </a:ext>
          </a:extLst>
        </xdr:cNvPr>
        <xdr:cNvCxnSpPr/>
      </xdr:nvCxnSpPr>
      <xdr:spPr>
        <a:xfrm>
          <a:off x="6415616" y="447252"/>
          <a:ext cx="185020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CA33F4-E1E7-453D-B10D-91E2B1569692}">
  <dimension ref="A1:WVK2942"/>
  <sheetViews>
    <sheetView tabSelected="1" zoomScale="80" zoomScaleNormal="80" workbookViewId="0">
      <selection activeCell="G9" sqref="G9"/>
    </sheetView>
  </sheetViews>
  <sheetFormatPr defaultRowHeight="15.6" x14ac:dyDescent="0.3"/>
  <cols>
    <col min="1" max="1" width="5.77734375" style="205" customWidth="1"/>
    <col min="2" max="2" width="24.6640625" style="173" customWidth="1"/>
    <col min="3" max="3" width="41.88671875" style="173" customWidth="1"/>
    <col min="4" max="4" width="7.44140625" style="206" customWidth="1"/>
    <col min="5" max="5" width="10.77734375" style="173" customWidth="1"/>
    <col min="6" max="6" width="11.109375" style="207" customWidth="1"/>
    <col min="7" max="7" width="19" style="173" customWidth="1"/>
    <col min="8" max="8" width="20.44140625" style="173" customWidth="1"/>
    <col min="9" max="249" width="8.88671875" style="173"/>
    <col min="250" max="250" width="4" style="173" customWidth="1"/>
    <col min="251" max="251" width="27.6640625" style="173" customWidth="1"/>
    <col min="252" max="252" width="42" style="173" customWidth="1"/>
    <col min="253" max="253" width="7.44140625" style="173" customWidth="1"/>
    <col min="254" max="254" width="10.44140625" style="173" customWidth="1"/>
    <col min="255" max="255" width="12.5546875" style="173" customWidth="1"/>
    <col min="256" max="256" width="19.88671875" style="173" customWidth="1"/>
    <col min="257" max="257" width="51.6640625" style="173" bestFit="1" customWidth="1"/>
    <col min="258" max="259" width="0" style="173" hidden="1" customWidth="1"/>
    <col min="260" max="505" width="8.88671875" style="173"/>
    <col min="506" max="506" width="4" style="173" customWidth="1"/>
    <col min="507" max="507" width="27.6640625" style="173" customWidth="1"/>
    <col min="508" max="508" width="42" style="173" customWidth="1"/>
    <col min="509" max="509" width="7.44140625" style="173" customWidth="1"/>
    <col min="510" max="510" width="10.44140625" style="173" customWidth="1"/>
    <col min="511" max="511" width="12.5546875" style="173" customWidth="1"/>
    <col min="512" max="512" width="19.88671875" style="173" customWidth="1"/>
    <col min="513" max="513" width="51.6640625" style="173" bestFit="1" customWidth="1"/>
    <col min="514" max="515" width="0" style="173" hidden="1" customWidth="1"/>
    <col min="516" max="761" width="8.88671875" style="173"/>
    <col min="762" max="762" width="4" style="173" customWidth="1"/>
    <col min="763" max="763" width="27.6640625" style="173" customWidth="1"/>
    <col min="764" max="764" width="42" style="173" customWidth="1"/>
    <col min="765" max="765" width="7.44140625" style="173" customWidth="1"/>
    <col min="766" max="766" width="10.44140625" style="173" customWidth="1"/>
    <col min="767" max="767" width="12.5546875" style="173" customWidth="1"/>
    <col min="768" max="768" width="19.88671875" style="173" customWidth="1"/>
    <col min="769" max="769" width="51.6640625" style="173" bestFit="1" customWidth="1"/>
    <col min="770" max="771" width="0" style="173" hidden="1" customWidth="1"/>
    <col min="772" max="1017" width="8.88671875" style="173"/>
    <col min="1018" max="1018" width="4" style="173" customWidth="1"/>
    <col min="1019" max="1019" width="27.6640625" style="173" customWidth="1"/>
    <col min="1020" max="1020" width="42" style="173" customWidth="1"/>
    <col min="1021" max="1021" width="7.44140625" style="173" customWidth="1"/>
    <col min="1022" max="1022" width="10.44140625" style="173" customWidth="1"/>
    <col min="1023" max="1023" width="12.5546875" style="173" customWidth="1"/>
    <col min="1024" max="1024" width="19.88671875" style="173" customWidth="1"/>
    <col min="1025" max="1025" width="51.6640625" style="173" bestFit="1" customWidth="1"/>
    <col min="1026" max="1027" width="0" style="173" hidden="1" customWidth="1"/>
    <col min="1028" max="1273" width="8.88671875" style="173"/>
    <col min="1274" max="1274" width="4" style="173" customWidth="1"/>
    <col min="1275" max="1275" width="27.6640625" style="173" customWidth="1"/>
    <col min="1276" max="1276" width="42" style="173" customWidth="1"/>
    <col min="1277" max="1277" width="7.44140625" style="173" customWidth="1"/>
    <col min="1278" max="1278" width="10.44140625" style="173" customWidth="1"/>
    <col min="1279" max="1279" width="12.5546875" style="173" customWidth="1"/>
    <col min="1280" max="1280" width="19.88671875" style="173" customWidth="1"/>
    <col min="1281" max="1281" width="51.6640625" style="173" bestFit="1" customWidth="1"/>
    <col min="1282" max="1283" width="0" style="173" hidden="1" customWidth="1"/>
    <col min="1284" max="1529" width="8.88671875" style="173"/>
    <col min="1530" max="1530" width="4" style="173" customWidth="1"/>
    <col min="1531" max="1531" width="27.6640625" style="173" customWidth="1"/>
    <col min="1532" max="1532" width="42" style="173" customWidth="1"/>
    <col min="1533" max="1533" width="7.44140625" style="173" customWidth="1"/>
    <col min="1534" max="1534" width="10.44140625" style="173" customWidth="1"/>
    <col min="1535" max="1535" width="12.5546875" style="173" customWidth="1"/>
    <col min="1536" max="1536" width="19.88671875" style="173" customWidth="1"/>
    <col min="1537" max="1537" width="51.6640625" style="173" bestFit="1" customWidth="1"/>
    <col min="1538" max="1539" width="0" style="173" hidden="1" customWidth="1"/>
    <col min="1540" max="1785" width="8.88671875" style="173"/>
    <col min="1786" max="1786" width="4" style="173" customWidth="1"/>
    <col min="1787" max="1787" width="27.6640625" style="173" customWidth="1"/>
    <col min="1788" max="1788" width="42" style="173" customWidth="1"/>
    <col min="1789" max="1789" width="7.44140625" style="173" customWidth="1"/>
    <col min="1790" max="1790" width="10.44140625" style="173" customWidth="1"/>
    <col min="1791" max="1791" width="12.5546875" style="173" customWidth="1"/>
    <col min="1792" max="1792" width="19.88671875" style="173" customWidth="1"/>
    <col min="1793" max="1793" width="51.6640625" style="173" bestFit="1" customWidth="1"/>
    <col min="1794" max="1795" width="0" style="173" hidden="1" customWidth="1"/>
    <col min="1796" max="2041" width="8.88671875" style="173"/>
    <col min="2042" max="2042" width="4" style="173" customWidth="1"/>
    <col min="2043" max="2043" width="27.6640625" style="173" customWidth="1"/>
    <col min="2044" max="2044" width="42" style="173" customWidth="1"/>
    <col min="2045" max="2045" width="7.44140625" style="173" customWidth="1"/>
    <col min="2046" max="2046" width="10.44140625" style="173" customWidth="1"/>
    <col min="2047" max="2047" width="12.5546875" style="173" customWidth="1"/>
    <col min="2048" max="2048" width="19.88671875" style="173" customWidth="1"/>
    <col min="2049" max="2049" width="51.6640625" style="173" bestFit="1" customWidth="1"/>
    <col min="2050" max="2051" width="0" style="173" hidden="1" customWidth="1"/>
    <col min="2052" max="2297" width="8.88671875" style="173"/>
    <col min="2298" max="2298" width="4" style="173" customWidth="1"/>
    <col min="2299" max="2299" width="27.6640625" style="173" customWidth="1"/>
    <col min="2300" max="2300" width="42" style="173" customWidth="1"/>
    <col min="2301" max="2301" width="7.44140625" style="173" customWidth="1"/>
    <col min="2302" max="2302" width="10.44140625" style="173" customWidth="1"/>
    <col min="2303" max="2303" width="12.5546875" style="173" customWidth="1"/>
    <col min="2304" max="2304" width="19.88671875" style="173" customWidth="1"/>
    <col min="2305" max="2305" width="51.6640625" style="173" bestFit="1" customWidth="1"/>
    <col min="2306" max="2307" width="0" style="173" hidden="1" customWidth="1"/>
    <col min="2308" max="2553" width="8.88671875" style="173"/>
    <col min="2554" max="2554" width="4" style="173" customWidth="1"/>
    <col min="2555" max="2555" width="27.6640625" style="173" customWidth="1"/>
    <col min="2556" max="2556" width="42" style="173" customWidth="1"/>
    <col min="2557" max="2557" width="7.44140625" style="173" customWidth="1"/>
    <col min="2558" max="2558" width="10.44140625" style="173" customWidth="1"/>
    <col min="2559" max="2559" width="12.5546875" style="173" customWidth="1"/>
    <col min="2560" max="2560" width="19.88671875" style="173" customWidth="1"/>
    <col min="2561" max="2561" width="51.6640625" style="173" bestFit="1" customWidth="1"/>
    <col min="2562" max="2563" width="0" style="173" hidden="1" customWidth="1"/>
    <col min="2564" max="2809" width="8.88671875" style="173"/>
    <col min="2810" max="2810" width="4" style="173" customWidth="1"/>
    <col min="2811" max="2811" width="27.6640625" style="173" customWidth="1"/>
    <col min="2812" max="2812" width="42" style="173" customWidth="1"/>
    <col min="2813" max="2813" width="7.44140625" style="173" customWidth="1"/>
    <col min="2814" max="2814" width="10.44140625" style="173" customWidth="1"/>
    <col min="2815" max="2815" width="12.5546875" style="173" customWidth="1"/>
    <col min="2816" max="2816" width="19.88671875" style="173" customWidth="1"/>
    <col min="2817" max="2817" width="51.6640625" style="173" bestFit="1" customWidth="1"/>
    <col min="2818" max="2819" width="0" style="173" hidden="1" customWidth="1"/>
    <col min="2820" max="3065" width="8.88671875" style="173"/>
    <col min="3066" max="3066" width="4" style="173" customWidth="1"/>
    <col min="3067" max="3067" width="27.6640625" style="173" customWidth="1"/>
    <col min="3068" max="3068" width="42" style="173" customWidth="1"/>
    <col min="3069" max="3069" width="7.44140625" style="173" customWidth="1"/>
    <col min="3070" max="3070" width="10.44140625" style="173" customWidth="1"/>
    <col min="3071" max="3071" width="12.5546875" style="173" customWidth="1"/>
    <col min="3072" max="3072" width="19.88671875" style="173" customWidth="1"/>
    <col min="3073" max="3073" width="51.6640625" style="173" bestFit="1" customWidth="1"/>
    <col min="3074" max="3075" width="0" style="173" hidden="1" customWidth="1"/>
    <col min="3076" max="3321" width="8.88671875" style="173"/>
    <col min="3322" max="3322" width="4" style="173" customWidth="1"/>
    <col min="3323" max="3323" width="27.6640625" style="173" customWidth="1"/>
    <col min="3324" max="3324" width="42" style="173" customWidth="1"/>
    <col min="3325" max="3325" width="7.44140625" style="173" customWidth="1"/>
    <col min="3326" max="3326" width="10.44140625" style="173" customWidth="1"/>
    <col min="3327" max="3327" width="12.5546875" style="173" customWidth="1"/>
    <col min="3328" max="3328" width="19.88671875" style="173" customWidth="1"/>
    <col min="3329" max="3329" width="51.6640625" style="173" bestFit="1" customWidth="1"/>
    <col min="3330" max="3331" width="0" style="173" hidden="1" customWidth="1"/>
    <col min="3332" max="3577" width="8.88671875" style="173"/>
    <col min="3578" max="3578" width="4" style="173" customWidth="1"/>
    <col min="3579" max="3579" width="27.6640625" style="173" customWidth="1"/>
    <col min="3580" max="3580" width="42" style="173" customWidth="1"/>
    <col min="3581" max="3581" width="7.44140625" style="173" customWidth="1"/>
    <col min="3582" max="3582" width="10.44140625" style="173" customWidth="1"/>
    <col min="3583" max="3583" width="12.5546875" style="173" customWidth="1"/>
    <col min="3584" max="3584" width="19.88671875" style="173" customWidth="1"/>
    <col min="3585" max="3585" width="51.6640625" style="173" bestFit="1" customWidth="1"/>
    <col min="3586" max="3587" width="0" style="173" hidden="1" customWidth="1"/>
    <col min="3588" max="3833" width="8.88671875" style="173"/>
    <col min="3834" max="3834" width="4" style="173" customWidth="1"/>
    <col min="3835" max="3835" width="27.6640625" style="173" customWidth="1"/>
    <col min="3836" max="3836" width="42" style="173" customWidth="1"/>
    <col min="3837" max="3837" width="7.44140625" style="173" customWidth="1"/>
    <col min="3838" max="3838" width="10.44140625" style="173" customWidth="1"/>
    <col min="3839" max="3839" width="12.5546875" style="173" customWidth="1"/>
    <col min="3840" max="3840" width="19.88671875" style="173" customWidth="1"/>
    <col min="3841" max="3841" width="51.6640625" style="173" bestFit="1" customWidth="1"/>
    <col min="3842" max="3843" width="0" style="173" hidden="1" customWidth="1"/>
    <col min="3844" max="4089" width="8.88671875" style="173"/>
    <col min="4090" max="4090" width="4" style="173" customWidth="1"/>
    <col min="4091" max="4091" width="27.6640625" style="173" customWidth="1"/>
    <col min="4092" max="4092" width="42" style="173" customWidth="1"/>
    <col min="4093" max="4093" width="7.44140625" style="173" customWidth="1"/>
    <col min="4094" max="4094" width="10.44140625" style="173" customWidth="1"/>
    <col min="4095" max="4095" width="12.5546875" style="173" customWidth="1"/>
    <col min="4096" max="4096" width="19.88671875" style="173" customWidth="1"/>
    <col min="4097" max="4097" width="51.6640625" style="173" bestFit="1" customWidth="1"/>
    <col min="4098" max="4099" width="0" style="173" hidden="1" customWidth="1"/>
    <col min="4100" max="4345" width="8.88671875" style="173"/>
    <col min="4346" max="4346" width="4" style="173" customWidth="1"/>
    <col min="4347" max="4347" width="27.6640625" style="173" customWidth="1"/>
    <col min="4348" max="4348" width="42" style="173" customWidth="1"/>
    <col min="4349" max="4349" width="7.44140625" style="173" customWidth="1"/>
    <col min="4350" max="4350" width="10.44140625" style="173" customWidth="1"/>
    <col min="4351" max="4351" width="12.5546875" style="173" customWidth="1"/>
    <col min="4352" max="4352" width="19.88671875" style="173" customWidth="1"/>
    <col min="4353" max="4353" width="51.6640625" style="173" bestFit="1" customWidth="1"/>
    <col min="4354" max="4355" width="0" style="173" hidden="1" customWidth="1"/>
    <col min="4356" max="4601" width="8.88671875" style="173"/>
    <col min="4602" max="4602" width="4" style="173" customWidth="1"/>
    <col min="4603" max="4603" width="27.6640625" style="173" customWidth="1"/>
    <col min="4604" max="4604" width="42" style="173" customWidth="1"/>
    <col min="4605" max="4605" width="7.44140625" style="173" customWidth="1"/>
    <col min="4606" max="4606" width="10.44140625" style="173" customWidth="1"/>
    <col min="4607" max="4607" width="12.5546875" style="173" customWidth="1"/>
    <col min="4608" max="4608" width="19.88671875" style="173" customWidth="1"/>
    <col min="4609" max="4609" width="51.6640625" style="173" bestFit="1" customWidth="1"/>
    <col min="4610" max="4611" width="0" style="173" hidden="1" customWidth="1"/>
    <col min="4612" max="4857" width="8.88671875" style="173"/>
    <col min="4858" max="4858" width="4" style="173" customWidth="1"/>
    <col min="4859" max="4859" width="27.6640625" style="173" customWidth="1"/>
    <col min="4860" max="4860" width="42" style="173" customWidth="1"/>
    <col min="4861" max="4861" width="7.44140625" style="173" customWidth="1"/>
    <col min="4862" max="4862" width="10.44140625" style="173" customWidth="1"/>
    <col min="4863" max="4863" width="12.5546875" style="173" customWidth="1"/>
    <col min="4864" max="4864" width="19.88671875" style="173" customWidth="1"/>
    <col min="4865" max="4865" width="51.6640625" style="173" bestFit="1" customWidth="1"/>
    <col min="4866" max="4867" width="0" style="173" hidden="1" customWidth="1"/>
    <col min="4868" max="5113" width="8.88671875" style="173"/>
    <col min="5114" max="5114" width="4" style="173" customWidth="1"/>
    <col min="5115" max="5115" width="27.6640625" style="173" customWidth="1"/>
    <col min="5116" max="5116" width="42" style="173" customWidth="1"/>
    <col min="5117" max="5117" width="7.44140625" style="173" customWidth="1"/>
    <col min="5118" max="5118" width="10.44140625" style="173" customWidth="1"/>
    <col min="5119" max="5119" width="12.5546875" style="173" customWidth="1"/>
    <col min="5120" max="5120" width="19.88671875" style="173" customWidth="1"/>
    <col min="5121" max="5121" width="51.6640625" style="173" bestFit="1" customWidth="1"/>
    <col min="5122" max="5123" width="0" style="173" hidden="1" customWidth="1"/>
    <col min="5124" max="5369" width="8.88671875" style="173"/>
    <col min="5370" max="5370" width="4" style="173" customWidth="1"/>
    <col min="5371" max="5371" width="27.6640625" style="173" customWidth="1"/>
    <col min="5372" max="5372" width="42" style="173" customWidth="1"/>
    <col min="5373" max="5373" width="7.44140625" style="173" customWidth="1"/>
    <col min="5374" max="5374" width="10.44140625" style="173" customWidth="1"/>
    <col min="5375" max="5375" width="12.5546875" style="173" customWidth="1"/>
    <col min="5376" max="5376" width="19.88671875" style="173" customWidth="1"/>
    <col min="5377" max="5377" width="51.6640625" style="173" bestFit="1" customWidth="1"/>
    <col min="5378" max="5379" width="0" style="173" hidden="1" customWidth="1"/>
    <col min="5380" max="5625" width="8.88671875" style="173"/>
    <col min="5626" max="5626" width="4" style="173" customWidth="1"/>
    <col min="5627" max="5627" width="27.6640625" style="173" customWidth="1"/>
    <col min="5628" max="5628" width="42" style="173" customWidth="1"/>
    <col min="5629" max="5629" width="7.44140625" style="173" customWidth="1"/>
    <col min="5630" max="5630" width="10.44140625" style="173" customWidth="1"/>
    <col min="5631" max="5631" width="12.5546875" style="173" customWidth="1"/>
    <col min="5632" max="5632" width="19.88671875" style="173" customWidth="1"/>
    <col min="5633" max="5633" width="51.6640625" style="173" bestFit="1" customWidth="1"/>
    <col min="5634" max="5635" width="0" style="173" hidden="1" customWidth="1"/>
    <col min="5636" max="5881" width="8.88671875" style="173"/>
    <col min="5882" max="5882" width="4" style="173" customWidth="1"/>
    <col min="5883" max="5883" width="27.6640625" style="173" customWidth="1"/>
    <col min="5884" max="5884" width="42" style="173" customWidth="1"/>
    <col min="5885" max="5885" width="7.44140625" style="173" customWidth="1"/>
    <col min="5886" max="5886" width="10.44140625" style="173" customWidth="1"/>
    <col min="5887" max="5887" width="12.5546875" style="173" customWidth="1"/>
    <col min="5888" max="5888" width="19.88671875" style="173" customWidth="1"/>
    <col min="5889" max="5889" width="51.6640625" style="173" bestFit="1" customWidth="1"/>
    <col min="5890" max="5891" width="0" style="173" hidden="1" customWidth="1"/>
    <col min="5892" max="6137" width="8.88671875" style="173"/>
    <col min="6138" max="6138" width="4" style="173" customWidth="1"/>
    <col min="6139" max="6139" width="27.6640625" style="173" customWidth="1"/>
    <col min="6140" max="6140" width="42" style="173" customWidth="1"/>
    <col min="6141" max="6141" width="7.44140625" style="173" customWidth="1"/>
    <col min="6142" max="6142" width="10.44140625" style="173" customWidth="1"/>
    <col min="6143" max="6143" width="12.5546875" style="173" customWidth="1"/>
    <col min="6144" max="6144" width="19.88671875" style="173" customWidth="1"/>
    <col min="6145" max="6145" width="51.6640625" style="173" bestFit="1" customWidth="1"/>
    <col min="6146" max="6147" width="0" style="173" hidden="1" customWidth="1"/>
    <col min="6148" max="6393" width="8.88671875" style="173"/>
    <col min="6394" max="6394" width="4" style="173" customWidth="1"/>
    <col min="6395" max="6395" width="27.6640625" style="173" customWidth="1"/>
    <col min="6396" max="6396" width="42" style="173" customWidth="1"/>
    <col min="6397" max="6397" width="7.44140625" style="173" customWidth="1"/>
    <col min="6398" max="6398" width="10.44140625" style="173" customWidth="1"/>
    <col min="6399" max="6399" width="12.5546875" style="173" customWidth="1"/>
    <col min="6400" max="6400" width="19.88671875" style="173" customWidth="1"/>
    <col min="6401" max="6401" width="51.6640625" style="173" bestFit="1" customWidth="1"/>
    <col min="6402" max="6403" width="0" style="173" hidden="1" customWidth="1"/>
    <col min="6404" max="6649" width="8.88671875" style="173"/>
    <col min="6650" max="6650" width="4" style="173" customWidth="1"/>
    <col min="6651" max="6651" width="27.6640625" style="173" customWidth="1"/>
    <col min="6652" max="6652" width="42" style="173" customWidth="1"/>
    <col min="6653" max="6653" width="7.44140625" style="173" customWidth="1"/>
    <col min="6654" max="6654" width="10.44140625" style="173" customWidth="1"/>
    <col min="6655" max="6655" width="12.5546875" style="173" customWidth="1"/>
    <col min="6656" max="6656" width="19.88671875" style="173" customWidth="1"/>
    <col min="6657" max="6657" width="51.6640625" style="173" bestFit="1" customWidth="1"/>
    <col min="6658" max="6659" width="0" style="173" hidden="1" customWidth="1"/>
    <col min="6660" max="6905" width="8.88671875" style="173"/>
    <col min="6906" max="6906" width="4" style="173" customWidth="1"/>
    <col min="6907" max="6907" width="27.6640625" style="173" customWidth="1"/>
    <col min="6908" max="6908" width="42" style="173" customWidth="1"/>
    <col min="6909" max="6909" width="7.44140625" style="173" customWidth="1"/>
    <col min="6910" max="6910" width="10.44140625" style="173" customWidth="1"/>
    <col min="6911" max="6911" width="12.5546875" style="173" customWidth="1"/>
    <col min="6912" max="6912" width="19.88671875" style="173" customWidth="1"/>
    <col min="6913" max="6913" width="51.6640625" style="173" bestFit="1" customWidth="1"/>
    <col min="6914" max="6915" width="0" style="173" hidden="1" customWidth="1"/>
    <col min="6916" max="7161" width="8.88671875" style="173"/>
    <col min="7162" max="7162" width="4" style="173" customWidth="1"/>
    <col min="7163" max="7163" width="27.6640625" style="173" customWidth="1"/>
    <col min="7164" max="7164" width="42" style="173" customWidth="1"/>
    <col min="7165" max="7165" width="7.44140625" style="173" customWidth="1"/>
    <col min="7166" max="7166" width="10.44140625" style="173" customWidth="1"/>
    <col min="7167" max="7167" width="12.5546875" style="173" customWidth="1"/>
    <col min="7168" max="7168" width="19.88671875" style="173" customWidth="1"/>
    <col min="7169" max="7169" width="51.6640625" style="173" bestFit="1" customWidth="1"/>
    <col min="7170" max="7171" width="0" style="173" hidden="1" customWidth="1"/>
    <col min="7172" max="7417" width="8.88671875" style="173"/>
    <col min="7418" max="7418" width="4" style="173" customWidth="1"/>
    <col min="7419" max="7419" width="27.6640625" style="173" customWidth="1"/>
    <col min="7420" max="7420" width="42" style="173" customWidth="1"/>
    <col min="7421" max="7421" width="7.44140625" style="173" customWidth="1"/>
    <col min="7422" max="7422" width="10.44140625" style="173" customWidth="1"/>
    <col min="7423" max="7423" width="12.5546875" style="173" customWidth="1"/>
    <col min="7424" max="7424" width="19.88671875" style="173" customWidth="1"/>
    <col min="7425" max="7425" width="51.6640625" style="173" bestFit="1" customWidth="1"/>
    <col min="7426" max="7427" width="0" style="173" hidden="1" customWidth="1"/>
    <col min="7428" max="7673" width="8.88671875" style="173"/>
    <col min="7674" max="7674" width="4" style="173" customWidth="1"/>
    <col min="7675" max="7675" width="27.6640625" style="173" customWidth="1"/>
    <col min="7676" max="7676" width="42" style="173" customWidth="1"/>
    <col min="7677" max="7677" width="7.44140625" style="173" customWidth="1"/>
    <col min="7678" max="7678" width="10.44140625" style="173" customWidth="1"/>
    <col min="7679" max="7679" width="12.5546875" style="173" customWidth="1"/>
    <col min="7680" max="7680" width="19.88671875" style="173" customWidth="1"/>
    <col min="7681" max="7681" width="51.6640625" style="173" bestFit="1" customWidth="1"/>
    <col min="7682" max="7683" width="0" style="173" hidden="1" customWidth="1"/>
    <col min="7684" max="7929" width="8.88671875" style="173"/>
    <col min="7930" max="7930" width="4" style="173" customWidth="1"/>
    <col min="7931" max="7931" width="27.6640625" style="173" customWidth="1"/>
    <col min="7932" max="7932" width="42" style="173" customWidth="1"/>
    <col min="7933" max="7933" width="7.44140625" style="173" customWidth="1"/>
    <col min="7934" max="7934" width="10.44140625" style="173" customWidth="1"/>
    <col min="7935" max="7935" width="12.5546875" style="173" customWidth="1"/>
    <col min="7936" max="7936" width="19.88671875" style="173" customWidth="1"/>
    <col min="7937" max="7937" width="51.6640625" style="173" bestFit="1" customWidth="1"/>
    <col min="7938" max="7939" width="0" style="173" hidden="1" customWidth="1"/>
    <col min="7940" max="8185" width="8.88671875" style="173"/>
    <col min="8186" max="8186" width="4" style="173" customWidth="1"/>
    <col min="8187" max="8187" width="27.6640625" style="173" customWidth="1"/>
    <col min="8188" max="8188" width="42" style="173" customWidth="1"/>
    <col min="8189" max="8189" width="7.44140625" style="173" customWidth="1"/>
    <col min="8190" max="8190" width="10.44140625" style="173" customWidth="1"/>
    <col min="8191" max="8191" width="12.5546875" style="173" customWidth="1"/>
    <col min="8192" max="8192" width="19.88671875" style="173" customWidth="1"/>
    <col min="8193" max="8193" width="51.6640625" style="173" bestFit="1" customWidth="1"/>
    <col min="8194" max="8195" width="0" style="173" hidden="1" customWidth="1"/>
    <col min="8196" max="8441" width="8.88671875" style="173"/>
    <col min="8442" max="8442" width="4" style="173" customWidth="1"/>
    <col min="8443" max="8443" width="27.6640625" style="173" customWidth="1"/>
    <col min="8444" max="8444" width="42" style="173" customWidth="1"/>
    <col min="8445" max="8445" width="7.44140625" style="173" customWidth="1"/>
    <col min="8446" max="8446" width="10.44140625" style="173" customWidth="1"/>
    <col min="8447" max="8447" width="12.5546875" style="173" customWidth="1"/>
    <col min="8448" max="8448" width="19.88671875" style="173" customWidth="1"/>
    <col min="8449" max="8449" width="51.6640625" style="173" bestFit="1" customWidth="1"/>
    <col min="8450" max="8451" width="0" style="173" hidden="1" customWidth="1"/>
    <col min="8452" max="8697" width="8.88671875" style="173"/>
    <col min="8698" max="8698" width="4" style="173" customWidth="1"/>
    <col min="8699" max="8699" width="27.6640625" style="173" customWidth="1"/>
    <col min="8700" max="8700" width="42" style="173" customWidth="1"/>
    <col min="8701" max="8701" width="7.44140625" style="173" customWidth="1"/>
    <col min="8702" max="8702" width="10.44140625" style="173" customWidth="1"/>
    <col min="8703" max="8703" width="12.5546875" style="173" customWidth="1"/>
    <col min="8704" max="8704" width="19.88671875" style="173" customWidth="1"/>
    <col min="8705" max="8705" width="51.6640625" style="173" bestFit="1" customWidth="1"/>
    <col min="8706" max="8707" width="0" style="173" hidden="1" customWidth="1"/>
    <col min="8708" max="8953" width="8.88671875" style="173"/>
    <col min="8954" max="8954" width="4" style="173" customWidth="1"/>
    <col min="8955" max="8955" width="27.6640625" style="173" customWidth="1"/>
    <col min="8956" max="8956" width="42" style="173" customWidth="1"/>
    <col min="8957" max="8957" width="7.44140625" style="173" customWidth="1"/>
    <col min="8958" max="8958" width="10.44140625" style="173" customWidth="1"/>
    <col min="8959" max="8959" width="12.5546875" style="173" customWidth="1"/>
    <col min="8960" max="8960" width="19.88671875" style="173" customWidth="1"/>
    <col min="8961" max="8961" width="51.6640625" style="173" bestFit="1" customWidth="1"/>
    <col min="8962" max="8963" width="0" style="173" hidden="1" customWidth="1"/>
    <col min="8964" max="9209" width="8.88671875" style="173"/>
    <col min="9210" max="9210" width="4" style="173" customWidth="1"/>
    <col min="9211" max="9211" width="27.6640625" style="173" customWidth="1"/>
    <col min="9212" max="9212" width="42" style="173" customWidth="1"/>
    <col min="9213" max="9213" width="7.44140625" style="173" customWidth="1"/>
    <col min="9214" max="9214" width="10.44140625" style="173" customWidth="1"/>
    <col min="9215" max="9215" width="12.5546875" style="173" customWidth="1"/>
    <col min="9216" max="9216" width="19.88671875" style="173" customWidth="1"/>
    <col min="9217" max="9217" width="51.6640625" style="173" bestFit="1" customWidth="1"/>
    <col min="9218" max="9219" width="0" style="173" hidden="1" customWidth="1"/>
    <col min="9220" max="9465" width="8.88671875" style="173"/>
    <col min="9466" max="9466" width="4" style="173" customWidth="1"/>
    <col min="9467" max="9467" width="27.6640625" style="173" customWidth="1"/>
    <col min="9468" max="9468" width="42" style="173" customWidth="1"/>
    <col min="9469" max="9469" width="7.44140625" style="173" customWidth="1"/>
    <col min="9470" max="9470" width="10.44140625" style="173" customWidth="1"/>
    <col min="9471" max="9471" width="12.5546875" style="173" customWidth="1"/>
    <col min="9472" max="9472" width="19.88671875" style="173" customWidth="1"/>
    <col min="9473" max="9473" width="51.6640625" style="173" bestFit="1" customWidth="1"/>
    <col min="9474" max="9475" width="0" style="173" hidden="1" customWidth="1"/>
    <col min="9476" max="9721" width="8.88671875" style="173"/>
    <col min="9722" max="9722" width="4" style="173" customWidth="1"/>
    <col min="9723" max="9723" width="27.6640625" style="173" customWidth="1"/>
    <col min="9724" max="9724" width="42" style="173" customWidth="1"/>
    <col min="9725" max="9725" width="7.44140625" style="173" customWidth="1"/>
    <col min="9726" max="9726" width="10.44140625" style="173" customWidth="1"/>
    <col min="9727" max="9727" width="12.5546875" style="173" customWidth="1"/>
    <col min="9728" max="9728" width="19.88671875" style="173" customWidth="1"/>
    <col min="9729" max="9729" width="51.6640625" style="173" bestFit="1" customWidth="1"/>
    <col min="9730" max="9731" width="0" style="173" hidden="1" customWidth="1"/>
    <col min="9732" max="9977" width="8.88671875" style="173"/>
    <col min="9978" max="9978" width="4" style="173" customWidth="1"/>
    <col min="9979" max="9979" width="27.6640625" style="173" customWidth="1"/>
    <col min="9980" max="9980" width="42" style="173" customWidth="1"/>
    <col min="9981" max="9981" width="7.44140625" style="173" customWidth="1"/>
    <col min="9982" max="9982" width="10.44140625" style="173" customWidth="1"/>
    <col min="9983" max="9983" width="12.5546875" style="173" customWidth="1"/>
    <col min="9984" max="9984" width="19.88671875" style="173" customWidth="1"/>
    <col min="9985" max="9985" width="51.6640625" style="173" bestFit="1" customWidth="1"/>
    <col min="9986" max="9987" width="0" style="173" hidden="1" customWidth="1"/>
    <col min="9988" max="10233" width="8.88671875" style="173"/>
    <col min="10234" max="10234" width="4" style="173" customWidth="1"/>
    <col min="10235" max="10235" width="27.6640625" style="173" customWidth="1"/>
    <col min="10236" max="10236" width="42" style="173" customWidth="1"/>
    <col min="10237" max="10237" width="7.44140625" style="173" customWidth="1"/>
    <col min="10238" max="10238" width="10.44140625" style="173" customWidth="1"/>
    <col min="10239" max="10239" width="12.5546875" style="173" customWidth="1"/>
    <col min="10240" max="10240" width="19.88671875" style="173" customWidth="1"/>
    <col min="10241" max="10241" width="51.6640625" style="173" bestFit="1" customWidth="1"/>
    <col min="10242" max="10243" width="0" style="173" hidden="1" customWidth="1"/>
    <col min="10244" max="10489" width="8.88671875" style="173"/>
    <col min="10490" max="10490" width="4" style="173" customWidth="1"/>
    <col min="10491" max="10491" width="27.6640625" style="173" customWidth="1"/>
    <col min="10492" max="10492" width="42" style="173" customWidth="1"/>
    <col min="10493" max="10493" width="7.44140625" style="173" customWidth="1"/>
    <col min="10494" max="10494" width="10.44140625" style="173" customWidth="1"/>
    <col min="10495" max="10495" width="12.5546875" style="173" customWidth="1"/>
    <col min="10496" max="10496" width="19.88671875" style="173" customWidth="1"/>
    <col min="10497" max="10497" width="51.6640625" style="173" bestFit="1" customWidth="1"/>
    <col min="10498" max="10499" width="0" style="173" hidden="1" customWidth="1"/>
    <col min="10500" max="10745" width="8.88671875" style="173"/>
    <col min="10746" max="10746" width="4" style="173" customWidth="1"/>
    <col min="10747" max="10747" width="27.6640625" style="173" customWidth="1"/>
    <col min="10748" max="10748" width="42" style="173" customWidth="1"/>
    <col min="10749" max="10749" width="7.44140625" style="173" customWidth="1"/>
    <col min="10750" max="10750" width="10.44140625" style="173" customWidth="1"/>
    <col min="10751" max="10751" width="12.5546875" style="173" customWidth="1"/>
    <col min="10752" max="10752" width="19.88671875" style="173" customWidth="1"/>
    <col min="10753" max="10753" width="51.6640625" style="173" bestFit="1" customWidth="1"/>
    <col min="10754" max="10755" width="0" style="173" hidden="1" customWidth="1"/>
    <col min="10756" max="11001" width="8.88671875" style="173"/>
    <col min="11002" max="11002" width="4" style="173" customWidth="1"/>
    <col min="11003" max="11003" width="27.6640625" style="173" customWidth="1"/>
    <col min="11004" max="11004" width="42" style="173" customWidth="1"/>
    <col min="11005" max="11005" width="7.44140625" style="173" customWidth="1"/>
    <col min="11006" max="11006" width="10.44140625" style="173" customWidth="1"/>
    <col min="11007" max="11007" width="12.5546875" style="173" customWidth="1"/>
    <col min="11008" max="11008" width="19.88671875" style="173" customWidth="1"/>
    <col min="11009" max="11009" width="51.6640625" style="173" bestFit="1" customWidth="1"/>
    <col min="11010" max="11011" width="0" style="173" hidden="1" customWidth="1"/>
    <col min="11012" max="11257" width="8.88671875" style="173"/>
    <col min="11258" max="11258" width="4" style="173" customWidth="1"/>
    <col min="11259" max="11259" width="27.6640625" style="173" customWidth="1"/>
    <col min="11260" max="11260" width="42" style="173" customWidth="1"/>
    <col min="11261" max="11261" width="7.44140625" style="173" customWidth="1"/>
    <col min="11262" max="11262" width="10.44140625" style="173" customWidth="1"/>
    <col min="11263" max="11263" width="12.5546875" style="173" customWidth="1"/>
    <col min="11264" max="11264" width="19.88671875" style="173" customWidth="1"/>
    <col min="11265" max="11265" width="51.6640625" style="173" bestFit="1" customWidth="1"/>
    <col min="11266" max="11267" width="0" style="173" hidden="1" customWidth="1"/>
    <col min="11268" max="11513" width="8.88671875" style="173"/>
    <col min="11514" max="11514" width="4" style="173" customWidth="1"/>
    <col min="11515" max="11515" width="27.6640625" style="173" customWidth="1"/>
    <col min="11516" max="11516" width="42" style="173" customWidth="1"/>
    <col min="11517" max="11517" width="7.44140625" style="173" customWidth="1"/>
    <col min="11518" max="11518" width="10.44140625" style="173" customWidth="1"/>
    <col min="11519" max="11519" width="12.5546875" style="173" customWidth="1"/>
    <col min="11520" max="11520" width="19.88671875" style="173" customWidth="1"/>
    <col min="11521" max="11521" width="51.6640625" style="173" bestFit="1" customWidth="1"/>
    <col min="11522" max="11523" width="0" style="173" hidden="1" customWidth="1"/>
    <col min="11524" max="11769" width="8.88671875" style="173"/>
    <col min="11770" max="11770" width="4" style="173" customWidth="1"/>
    <col min="11771" max="11771" width="27.6640625" style="173" customWidth="1"/>
    <col min="11772" max="11772" width="42" style="173" customWidth="1"/>
    <col min="11773" max="11773" width="7.44140625" style="173" customWidth="1"/>
    <col min="11774" max="11774" width="10.44140625" style="173" customWidth="1"/>
    <col min="11775" max="11775" width="12.5546875" style="173" customWidth="1"/>
    <col min="11776" max="11776" width="19.88671875" style="173" customWidth="1"/>
    <col min="11777" max="11777" width="51.6640625" style="173" bestFit="1" customWidth="1"/>
    <col min="11778" max="11779" width="0" style="173" hidden="1" customWidth="1"/>
    <col min="11780" max="12025" width="8.88671875" style="173"/>
    <col min="12026" max="12026" width="4" style="173" customWidth="1"/>
    <col min="12027" max="12027" width="27.6640625" style="173" customWidth="1"/>
    <col min="12028" max="12028" width="42" style="173" customWidth="1"/>
    <col min="12029" max="12029" width="7.44140625" style="173" customWidth="1"/>
    <col min="12030" max="12030" width="10.44140625" style="173" customWidth="1"/>
    <col min="12031" max="12031" width="12.5546875" style="173" customWidth="1"/>
    <col min="12032" max="12032" width="19.88671875" style="173" customWidth="1"/>
    <col min="12033" max="12033" width="51.6640625" style="173" bestFit="1" customWidth="1"/>
    <col min="12034" max="12035" width="0" style="173" hidden="1" customWidth="1"/>
    <col min="12036" max="12281" width="8.88671875" style="173"/>
    <col min="12282" max="12282" width="4" style="173" customWidth="1"/>
    <col min="12283" max="12283" width="27.6640625" style="173" customWidth="1"/>
    <col min="12284" max="12284" width="42" style="173" customWidth="1"/>
    <col min="12285" max="12285" width="7.44140625" style="173" customWidth="1"/>
    <col min="12286" max="12286" width="10.44140625" style="173" customWidth="1"/>
    <col min="12287" max="12287" width="12.5546875" style="173" customWidth="1"/>
    <col min="12288" max="12288" width="19.88671875" style="173" customWidth="1"/>
    <col min="12289" max="12289" width="51.6640625" style="173" bestFit="1" customWidth="1"/>
    <col min="12290" max="12291" width="0" style="173" hidden="1" customWidth="1"/>
    <col min="12292" max="12537" width="8.88671875" style="173"/>
    <col min="12538" max="12538" width="4" style="173" customWidth="1"/>
    <col min="12539" max="12539" width="27.6640625" style="173" customWidth="1"/>
    <col min="12540" max="12540" width="42" style="173" customWidth="1"/>
    <col min="12541" max="12541" width="7.44140625" style="173" customWidth="1"/>
    <col min="12542" max="12542" width="10.44140625" style="173" customWidth="1"/>
    <col min="12543" max="12543" width="12.5546875" style="173" customWidth="1"/>
    <col min="12544" max="12544" width="19.88671875" style="173" customWidth="1"/>
    <col min="12545" max="12545" width="51.6640625" style="173" bestFit="1" customWidth="1"/>
    <col min="12546" max="12547" width="0" style="173" hidden="1" customWidth="1"/>
    <col min="12548" max="12793" width="8.88671875" style="173"/>
    <col min="12794" max="12794" width="4" style="173" customWidth="1"/>
    <col min="12795" max="12795" width="27.6640625" style="173" customWidth="1"/>
    <col min="12796" max="12796" width="42" style="173" customWidth="1"/>
    <col min="12797" max="12797" width="7.44140625" style="173" customWidth="1"/>
    <col min="12798" max="12798" width="10.44140625" style="173" customWidth="1"/>
    <col min="12799" max="12799" width="12.5546875" style="173" customWidth="1"/>
    <col min="12800" max="12800" width="19.88671875" style="173" customWidth="1"/>
    <col min="12801" max="12801" width="51.6640625" style="173" bestFit="1" customWidth="1"/>
    <col min="12802" max="12803" width="0" style="173" hidden="1" customWidth="1"/>
    <col min="12804" max="13049" width="8.88671875" style="173"/>
    <col min="13050" max="13050" width="4" style="173" customWidth="1"/>
    <col min="13051" max="13051" width="27.6640625" style="173" customWidth="1"/>
    <col min="13052" max="13052" width="42" style="173" customWidth="1"/>
    <col min="13053" max="13053" width="7.44140625" style="173" customWidth="1"/>
    <col min="13054" max="13054" width="10.44140625" style="173" customWidth="1"/>
    <col min="13055" max="13055" width="12.5546875" style="173" customWidth="1"/>
    <col min="13056" max="13056" width="19.88671875" style="173" customWidth="1"/>
    <col min="13057" max="13057" width="51.6640625" style="173" bestFit="1" customWidth="1"/>
    <col min="13058" max="13059" width="0" style="173" hidden="1" customWidth="1"/>
    <col min="13060" max="13305" width="8.88671875" style="173"/>
    <col min="13306" max="13306" width="4" style="173" customWidth="1"/>
    <col min="13307" max="13307" width="27.6640625" style="173" customWidth="1"/>
    <col min="13308" max="13308" width="42" style="173" customWidth="1"/>
    <col min="13309" max="13309" width="7.44140625" style="173" customWidth="1"/>
    <col min="13310" max="13310" width="10.44140625" style="173" customWidth="1"/>
    <col min="13311" max="13311" width="12.5546875" style="173" customWidth="1"/>
    <col min="13312" max="13312" width="19.88671875" style="173" customWidth="1"/>
    <col min="13313" max="13313" width="51.6640625" style="173" bestFit="1" customWidth="1"/>
    <col min="13314" max="13315" width="0" style="173" hidden="1" customWidth="1"/>
    <col min="13316" max="13561" width="8.88671875" style="173"/>
    <col min="13562" max="13562" width="4" style="173" customWidth="1"/>
    <col min="13563" max="13563" width="27.6640625" style="173" customWidth="1"/>
    <col min="13564" max="13564" width="42" style="173" customWidth="1"/>
    <col min="13565" max="13565" width="7.44140625" style="173" customWidth="1"/>
    <col min="13566" max="13566" width="10.44140625" style="173" customWidth="1"/>
    <col min="13567" max="13567" width="12.5546875" style="173" customWidth="1"/>
    <col min="13568" max="13568" width="19.88671875" style="173" customWidth="1"/>
    <col min="13569" max="13569" width="51.6640625" style="173" bestFit="1" customWidth="1"/>
    <col min="13570" max="13571" width="0" style="173" hidden="1" customWidth="1"/>
    <col min="13572" max="13817" width="8.88671875" style="173"/>
    <col min="13818" max="13818" width="4" style="173" customWidth="1"/>
    <col min="13819" max="13819" width="27.6640625" style="173" customWidth="1"/>
    <col min="13820" max="13820" width="42" style="173" customWidth="1"/>
    <col min="13821" max="13821" width="7.44140625" style="173" customWidth="1"/>
    <col min="13822" max="13822" width="10.44140625" style="173" customWidth="1"/>
    <col min="13823" max="13823" width="12.5546875" style="173" customWidth="1"/>
    <col min="13824" max="13824" width="19.88671875" style="173" customWidth="1"/>
    <col min="13825" max="13825" width="51.6640625" style="173" bestFit="1" customWidth="1"/>
    <col min="13826" max="13827" width="0" style="173" hidden="1" customWidth="1"/>
    <col min="13828" max="14073" width="8.88671875" style="173"/>
    <col min="14074" max="14074" width="4" style="173" customWidth="1"/>
    <col min="14075" max="14075" width="27.6640625" style="173" customWidth="1"/>
    <col min="14076" max="14076" width="42" style="173" customWidth="1"/>
    <col min="14077" max="14077" width="7.44140625" style="173" customWidth="1"/>
    <col min="14078" max="14078" width="10.44140625" style="173" customWidth="1"/>
    <col min="14079" max="14079" width="12.5546875" style="173" customWidth="1"/>
    <col min="14080" max="14080" width="19.88671875" style="173" customWidth="1"/>
    <col min="14081" max="14081" width="51.6640625" style="173" bestFit="1" customWidth="1"/>
    <col min="14082" max="14083" width="0" style="173" hidden="1" customWidth="1"/>
    <col min="14084" max="14329" width="8.88671875" style="173"/>
    <col min="14330" max="14330" width="4" style="173" customWidth="1"/>
    <col min="14331" max="14331" width="27.6640625" style="173" customWidth="1"/>
    <col min="14332" max="14332" width="42" style="173" customWidth="1"/>
    <col min="14333" max="14333" width="7.44140625" style="173" customWidth="1"/>
    <col min="14334" max="14334" width="10.44140625" style="173" customWidth="1"/>
    <col min="14335" max="14335" width="12.5546875" style="173" customWidth="1"/>
    <col min="14336" max="14336" width="19.88671875" style="173" customWidth="1"/>
    <col min="14337" max="14337" width="51.6640625" style="173" bestFit="1" customWidth="1"/>
    <col min="14338" max="14339" width="0" style="173" hidden="1" customWidth="1"/>
    <col min="14340" max="14585" width="8.88671875" style="173"/>
    <col min="14586" max="14586" width="4" style="173" customWidth="1"/>
    <col min="14587" max="14587" width="27.6640625" style="173" customWidth="1"/>
    <col min="14588" max="14588" width="42" style="173" customWidth="1"/>
    <col min="14589" max="14589" width="7.44140625" style="173" customWidth="1"/>
    <col min="14590" max="14590" width="10.44140625" style="173" customWidth="1"/>
    <col min="14591" max="14591" width="12.5546875" style="173" customWidth="1"/>
    <col min="14592" max="14592" width="19.88671875" style="173" customWidth="1"/>
    <col min="14593" max="14593" width="51.6640625" style="173" bestFit="1" customWidth="1"/>
    <col min="14594" max="14595" width="0" style="173" hidden="1" customWidth="1"/>
    <col min="14596" max="14841" width="8.88671875" style="173"/>
    <col min="14842" max="14842" width="4" style="173" customWidth="1"/>
    <col min="14843" max="14843" width="27.6640625" style="173" customWidth="1"/>
    <col min="14844" max="14844" width="42" style="173" customWidth="1"/>
    <col min="14845" max="14845" width="7.44140625" style="173" customWidth="1"/>
    <col min="14846" max="14846" width="10.44140625" style="173" customWidth="1"/>
    <col min="14847" max="14847" width="12.5546875" style="173" customWidth="1"/>
    <col min="14848" max="14848" width="19.88671875" style="173" customWidth="1"/>
    <col min="14849" max="14849" width="51.6640625" style="173" bestFit="1" customWidth="1"/>
    <col min="14850" max="14851" width="0" style="173" hidden="1" customWidth="1"/>
    <col min="14852" max="15097" width="8.88671875" style="173"/>
    <col min="15098" max="15098" width="4" style="173" customWidth="1"/>
    <col min="15099" max="15099" width="27.6640625" style="173" customWidth="1"/>
    <col min="15100" max="15100" width="42" style="173" customWidth="1"/>
    <col min="15101" max="15101" width="7.44140625" style="173" customWidth="1"/>
    <col min="15102" max="15102" width="10.44140625" style="173" customWidth="1"/>
    <col min="15103" max="15103" width="12.5546875" style="173" customWidth="1"/>
    <col min="15104" max="15104" width="19.88671875" style="173" customWidth="1"/>
    <col min="15105" max="15105" width="51.6640625" style="173" bestFit="1" customWidth="1"/>
    <col min="15106" max="15107" width="0" style="173" hidden="1" customWidth="1"/>
    <col min="15108" max="15353" width="8.88671875" style="173"/>
    <col min="15354" max="15354" width="4" style="173" customWidth="1"/>
    <col min="15355" max="15355" width="27.6640625" style="173" customWidth="1"/>
    <col min="15356" max="15356" width="42" style="173" customWidth="1"/>
    <col min="15357" max="15357" width="7.44140625" style="173" customWidth="1"/>
    <col min="15358" max="15358" width="10.44140625" style="173" customWidth="1"/>
    <col min="15359" max="15359" width="12.5546875" style="173" customWidth="1"/>
    <col min="15360" max="15360" width="19.88671875" style="173" customWidth="1"/>
    <col min="15361" max="15361" width="51.6640625" style="173" bestFit="1" customWidth="1"/>
    <col min="15362" max="15363" width="0" style="173" hidden="1" customWidth="1"/>
    <col min="15364" max="15609" width="8.88671875" style="173"/>
    <col min="15610" max="15610" width="4" style="173" customWidth="1"/>
    <col min="15611" max="15611" width="27.6640625" style="173" customWidth="1"/>
    <col min="15612" max="15612" width="42" style="173" customWidth="1"/>
    <col min="15613" max="15613" width="7.44140625" style="173" customWidth="1"/>
    <col min="15614" max="15614" width="10.44140625" style="173" customWidth="1"/>
    <col min="15615" max="15615" width="12.5546875" style="173" customWidth="1"/>
    <col min="15616" max="15616" width="19.88671875" style="173" customWidth="1"/>
    <col min="15617" max="15617" width="51.6640625" style="173" bestFit="1" customWidth="1"/>
    <col min="15618" max="15619" width="0" style="173" hidden="1" customWidth="1"/>
    <col min="15620" max="15865" width="8.88671875" style="173"/>
    <col min="15866" max="15866" width="4" style="173" customWidth="1"/>
    <col min="15867" max="15867" width="27.6640625" style="173" customWidth="1"/>
    <col min="15868" max="15868" width="42" style="173" customWidth="1"/>
    <col min="15869" max="15869" width="7.44140625" style="173" customWidth="1"/>
    <col min="15870" max="15870" width="10.44140625" style="173" customWidth="1"/>
    <col min="15871" max="15871" width="12.5546875" style="173" customWidth="1"/>
    <col min="15872" max="15872" width="19.88671875" style="173" customWidth="1"/>
    <col min="15873" max="15873" width="51.6640625" style="173" bestFit="1" customWidth="1"/>
    <col min="15874" max="15875" width="0" style="173" hidden="1" customWidth="1"/>
    <col min="15876" max="16121" width="8.88671875" style="173"/>
    <col min="16122" max="16122" width="4" style="173" customWidth="1"/>
    <col min="16123" max="16123" width="27.6640625" style="173" customWidth="1"/>
    <col min="16124" max="16124" width="42" style="173" customWidth="1"/>
    <col min="16125" max="16125" width="7.44140625" style="173" customWidth="1"/>
    <col min="16126" max="16126" width="10.44140625" style="173" customWidth="1"/>
    <col min="16127" max="16127" width="12.5546875" style="173" customWidth="1"/>
    <col min="16128" max="16128" width="19.88671875" style="173" customWidth="1"/>
    <col min="16129" max="16129" width="51.6640625" style="173" bestFit="1" customWidth="1"/>
    <col min="16130" max="16131" width="0" style="173" hidden="1" customWidth="1"/>
    <col min="16132" max="16384" width="8.88671875" style="173"/>
  </cols>
  <sheetData>
    <row r="1" spans="1:8" s="10" customFormat="1" ht="16.8" x14ac:dyDescent="0.3">
      <c r="A1" s="7" t="s">
        <v>0</v>
      </c>
      <c r="B1" s="7"/>
      <c r="C1" s="7"/>
      <c r="D1" s="8" t="s">
        <v>1</v>
      </c>
      <c r="E1" s="8"/>
      <c r="F1" s="9"/>
      <c r="G1" s="8"/>
      <c r="H1" s="8"/>
    </row>
    <row r="2" spans="1:8" s="10" customFormat="1" ht="16.8" x14ac:dyDescent="0.3">
      <c r="A2" s="8" t="s">
        <v>2</v>
      </c>
      <c r="B2" s="11"/>
      <c r="C2" s="8"/>
      <c r="D2" s="8" t="s">
        <v>3</v>
      </c>
      <c r="E2" s="8"/>
      <c r="F2" s="9"/>
      <c r="G2" s="8"/>
      <c r="H2" s="8"/>
    </row>
    <row r="3" spans="1:8" s="10" customFormat="1" ht="16.8" x14ac:dyDescent="0.3">
      <c r="A3" s="8"/>
      <c r="B3" s="11"/>
      <c r="D3" s="12"/>
      <c r="E3" s="13"/>
      <c r="F3" s="14"/>
      <c r="G3" s="15"/>
      <c r="H3" s="16"/>
    </row>
    <row r="4" spans="1:8" s="20" customFormat="1" ht="16.8" x14ac:dyDescent="0.3">
      <c r="A4" s="17" t="s">
        <v>4</v>
      </c>
      <c r="B4" s="18"/>
      <c r="C4" s="17"/>
      <c r="D4" s="17"/>
      <c r="E4" s="17"/>
      <c r="F4" s="19"/>
      <c r="G4" s="17"/>
      <c r="H4" s="17"/>
    </row>
    <row r="5" spans="1:8" s="20" customFormat="1" ht="16.8" x14ac:dyDescent="0.3">
      <c r="A5" s="17" t="s">
        <v>27</v>
      </c>
      <c r="B5" s="18"/>
      <c r="C5" s="17"/>
      <c r="D5" s="17"/>
      <c r="E5" s="17"/>
      <c r="F5" s="19"/>
      <c r="G5" s="17"/>
      <c r="H5" s="17"/>
    </row>
    <row r="6" spans="1:8" s="20" customFormat="1" ht="17.399999999999999" thickBot="1" x14ac:dyDescent="0.35">
      <c r="A6" s="17" t="s">
        <v>28</v>
      </c>
      <c r="B6" s="18"/>
      <c r="C6" s="17"/>
      <c r="D6" s="17"/>
      <c r="E6" s="17"/>
      <c r="F6" s="19"/>
      <c r="G6" s="17"/>
      <c r="H6" s="17"/>
    </row>
    <row r="7" spans="1:8" s="27" customFormat="1" ht="31.8" thickBot="1" x14ac:dyDescent="0.35">
      <c r="A7" s="21" t="s">
        <v>5</v>
      </c>
      <c r="B7" s="22" t="s">
        <v>6</v>
      </c>
      <c r="C7" s="23" t="s">
        <v>7</v>
      </c>
      <c r="D7" s="23" t="s">
        <v>8</v>
      </c>
      <c r="E7" s="24" t="s">
        <v>9</v>
      </c>
      <c r="F7" s="25" t="s">
        <v>10</v>
      </c>
      <c r="G7" s="25" t="s">
        <v>11</v>
      </c>
      <c r="H7" s="26" t="s">
        <v>12</v>
      </c>
    </row>
    <row r="8" spans="1:8" s="35" customFormat="1" ht="55.2" x14ac:dyDescent="0.3">
      <c r="A8" s="28">
        <v>1</v>
      </c>
      <c r="B8" s="29" t="s">
        <v>29</v>
      </c>
      <c r="C8" s="30" t="s">
        <v>34</v>
      </c>
      <c r="D8" s="31" t="s">
        <v>13</v>
      </c>
      <c r="E8" s="32">
        <v>10.8</v>
      </c>
      <c r="F8" s="33"/>
      <c r="G8" s="33"/>
      <c r="H8" s="34" t="s">
        <v>138</v>
      </c>
    </row>
    <row r="9" spans="1:8" s="35" customFormat="1" ht="31.2" x14ac:dyDescent="0.3">
      <c r="A9" s="36"/>
      <c r="B9" s="37" t="s">
        <v>31</v>
      </c>
      <c r="C9" s="38" t="s">
        <v>14</v>
      </c>
      <c r="D9" s="39"/>
      <c r="E9" s="44"/>
      <c r="F9" s="40"/>
      <c r="G9" s="41">
        <f>SUM(G10)</f>
        <v>112363200</v>
      </c>
      <c r="H9" s="42"/>
    </row>
    <row r="10" spans="1:8" s="35" customFormat="1" ht="31.2" x14ac:dyDescent="0.3">
      <c r="A10" s="36"/>
      <c r="B10" s="37" t="s">
        <v>30</v>
      </c>
      <c r="C10" s="43" t="s">
        <v>55</v>
      </c>
      <c r="D10" s="39" t="s">
        <v>13</v>
      </c>
      <c r="E10" s="44">
        <v>10.8</v>
      </c>
      <c r="F10" s="153">
        <v>10404000</v>
      </c>
      <c r="G10" s="40">
        <f>E10*F10</f>
        <v>112363200</v>
      </c>
      <c r="H10" s="45"/>
    </row>
    <row r="11" spans="1:8" s="35" customFormat="1" ht="78" x14ac:dyDescent="0.3">
      <c r="A11" s="36"/>
      <c r="B11" s="46" t="s">
        <v>32</v>
      </c>
      <c r="C11" s="47" t="s">
        <v>35</v>
      </c>
      <c r="D11" s="39"/>
      <c r="E11" s="44"/>
      <c r="F11" s="40"/>
      <c r="G11" s="41">
        <f>SUM(G12:G14)</f>
        <v>1437600</v>
      </c>
      <c r="H11" s="45"/>
    </row>
    <row r="12" spans="1:8" s="35" customFormat="1" ht="46.8" x14ac:dyDescent="0.3">
      <c r="A12" s="36"/>
      <c r="B12" s="46" t="s">
        <v>33</v>
      </c>
      <c r="C12" s="48" t="s">
        <v>2117</v>
      </c>
      <c r="D12" s="39" t="s">
        <v>13</v>
      </c>
      <c r="E12" s="44">
        <f>4.8*3.45</f>
        <v>16.559999999999999</v>
      </c>
      <c r="F12" s="49">
        <v>0</v>
      </c>
      <c r="G12" s="40">
        <f>E12*F12</f>
        <v>0</v>
      </c>
      <c r="H12" s="42" t="s">
        <v>179</v>
      </c>
    </row>
    <row r="13" spans="1:8" s="35" customFormat="1" ht="55.2" x14ac:dyDescent="0.3">
      <c r="A13" s="36"/>
      <c r="B13" s="46"/>
      <c r="C13" s="48" t="s">
        <v>44</v>
      </c>
      <c r="D13" s="39" t="s">
        <v>13</v>
      </c>
      <c r="E13" s="44">
        <f>4.8*1.7</f>
        <v>8.16</v>
      </c>
      <c r="F13" s="40">
        <v>140000</v>
      </c>
      <c r="G13" s="40">
        <f>E13*F13</f>
        <v>1142400</v>
      </c>
      <c r="H13" s="42" t="s">
        <v>2343</v>
      </c>
    </row>
    <row r="14" spans="1:8" s="35" customFormat="1" ht="18.600000000000001" x14ac:dyDescent="0.3">
      <c r="A14" s="36"/>
      <c r="B14" s="46"/>
      <c r="C14" s="50" t="s">
        <v>18</v>
      </c>
      <c r="D14" s="39" t="s">
        <v>13</v>
      </c>
      <c r="E14" s="44">
        <f>4.8*1.5</f>
        <v>7.1999999999999993</v>
      </c>
      <c r="F14" s="40">
        <v>41000</v>
      </c>
      <c r="G14" s="40">
        <f>E14*F14</f>
        <v>295199.99999999994</v>
      </c>
      <c r="H14" s="42"/>
    </row>
    <row r="15" spans="1:8" s="35" customFormat="1" x14ac:dyDescent="0.3">
      <c r="A15" s="36"/>
      <c r="B15" s="46"/>
      <c r="C15" s="51" t="s">
        <v>20</v>
      </c>
      <c r="D15" s="39"/>
      <c r="E15" s="44"/>
      <c r="F15" s="40"/>
      <c r="G15" s="41">
        <f>SUM(G16:G17)</f>
        <v>312000</v>
      </c>
      <c r="H15" s="52"/>
    </row>
    <row r="16" spans="1:8" s="35" customFormat="1" x14ac:dyDescent="0.3">
      <c r="A16" s="36"/>
      <c r="B16" s="46"/>
      <c r="C16" s="50" t="s">
        <v>36</v>
      </c>
      <c r="D16" s="39" t="s">
        <v>22</v>
      </c>
      <c r="E16" s="44">
        <v>3</v>
      </c>
      <c r="F16" s="40">
        <v>4000</v>
      </c>
      <c r="G16" s="40">
        <f>E16*F16</f>
        <v>12000</v>
      </c>
      <c r="H16" s="52"/>
    </row>
    <row r="17" spans="1:771 1026:1795 2050:2819 3074:3843 4098:4867 5122:5891 6146:6915 7170:7939 8194:8963 9218:9987 10242:11011 11266:12035 12290:13059 13314:14083 14338:15107 15362:16131" s="35" customFormat="1" x14ac:dyDescent="0.3">
      <c r="A17" s="36"/>
      <c r="B17" s="46"/>
      <c r="C17" s="50" t="s">
        <v>37</v>
      </c>
      <c r="D17" s="39" t="s">
        <v>21</v>
      </c>
      <c r="E17" s="44">
        <v>1</v>
      </c>
      <c r="F17" s="40">
        <v>300000</v>
      </c>
      <c r="G17" s="40">
        <f>E17*F17</f>
        <v>300000</v>
      </c>
      <c r="H17" s="52"/>
    </row>
    <row r="18" spans="1:771 1026:1795 2050:2819 3074:3843 4098:4867 5122:5891 6146:6915 7170:7939 8194:8963 9218:9987 10242:11011 11266:12035 12290:13059 13314:14083 14338:15107 15362:16131" s="35" customFormat="1" x14ac:dyDescent="0.3">
      <c r="A18" s="36"/>
      <c r="B18" s="46"/>
      <c r="C18" s="51" t="s">
        <v>23</v>
      </c>
      <c r="D18" s="39"/>
      <c r="E18" s="1"/>
      <c r="F18" s="2"/>
      <c r="G18" s="41">
        <f>SUM(G19)</f>
        <v>3060000</v>
      </c>
      <c r="H18" s="52"/>
    </row>
    <row r="19" spans="1:771 1026:1795 2050:2819 3074:3843 4098:4867 5122:5891 6146:6915 7170:7939 8194:8963 9218:9987 10242:11011 11266:12035 12290:13059 13314:14083 14338:15107 15362:16131" s="35" customFormat="1" x14ac:dyDescent="0.3">
      <c r="A19" s="36"/>
      <c r="B19" s="46"/>
      <c r="C19" s="50" t="s">
        <v>24</v>
      </c>
      <c r="D19" s="39" t="s">
        <v>25</v>
      </c>
      <c r="E19" s="1">
        <f>1*30*6</f>
        <v>180</v>
      </c>
      <c r="F19" s="2">
        <v>17000</v>
      </c>
      <c r="G19" s="40">
        <f>E19*F19</f>
        <v>3060000</v>
      </c>
      <c r="H19" s="42"/>
    </row>
    <row r="20" spans="1:771 1026:1795 2050:2819 3074:3843 4098:4867 5122:5891 6146:6915 7170:7939 8194:8963 9218:9987 10242:11011 11266:12035 12290:13059 13314:14083 14338:15107 15362:16131" s="35" customFormat="1" ht="65.400000000000006" thickBot="1" x14ac:dyDescent="0.35">
      <c r="A20" s="53"/>
      <c r="B20" s="54"/>
      <c r="C20" s="55" t="s">
        <v>2331</v>
      </c>
      <c r="D20" s="56"/>
      <c r="E20" s="5"/>
      <c r="F20" s="6"/>
      <c r="G20" s="57"/>
      <c r="H20" s="58"/>
    </row>
    <row r="21" spans="1:771 1026:1795 2050:2819 3074:3843 4098:4867 5122:5891 6146:6915 7170:7939 8194:8963 9218:9987 10242:11011 11266:12035 12290:13059 13314:14083 14338:15107 15362:16131" s="59" customFormat="1" ht="31.8" thickBot="1" x14ac:dyDescent="0.35">
      <c r="A21" s="154"/>
      <c r="B21" s="155" t="s">
        <v>26</v>
      </c>
      <c r="C21" s="156"/>
      <c r="D21" s="154"/>
      <c r="E21" s="157"/>
      <c r="F21" s="158"/>
      <c r="G21" s="159">
        <f>SUM(G8:G20)/2</f>
        <v>117172800</v>
      </c>
      <c r="H21" s="160"/>
      <c r="IX21" s="35"/>
      <c r="IY21" s="35"/>
      <c r="ST21" s="35"/>
      <c r="SU21" s="35"/>
      <c r="ACP21" s="35"/>
      <c r="ACQ21" s="35"/>
      <c r="AML21" s="35"/>
      <c r="AMM21" s="35"/>
      <c r="AWH21" s="35"/>
      <c r="AWI21" s="35"/>
      <c r="BGD21" s="35"/>
      <c r="BGE21" s="35"/>
      <c r="BPZ21" s="35"/>
      <c r="BQA21" s="35"/>
      <c r="BZV21" s="35"/>
      <c r="BZW21" s="35"/>
      <c r="CJR21" s="35"/>
      <c r="CJS21" s="35"/>
      <c r="CTN21" s="35"/>
      <c r="CTO21" s="35"/>
      <c r="DDJ21" s="35"/>
      <c r="DDK21" s="35"/>
      <c r="DNF21" s="35"/>
      <c r="DNG21" s="35"/>
      <c r="DXB21" s="35"/>
      <c r="DXC21" s="35"/>
      <c r="EGX21" s="35"/>
      <c r="EGY21" s="35"/>
      <c r="EQT21" s="35"/>
      <c r="EQU21" s="35"/>
      <c r="FAP21" s="35"/>
      <c r="FAQ21" s="35"/>
      <c r="FKL21" s="35"/>
      <c r="FKM21" s="35"/>
      <c r="FUH21" s="35"/>
      <c r="FUI21" s="35"/>
      <c r="GED21" s="35"/>
      <c r="GEE21" s="35"/>
      <c r="GNZ21" s="35"/>
      <c r="GOA21" s="35"/>
      <c r="GXV21" s="35"/>
      <c r="GXW21" s="35"/>
      <c r="HHR21" s="35"/>
      <c r="HHS21" s="35"/>
      <c r="HRN21" s="35"/>
      <c r="HRO21" s="35"/>
      <c r="IBJ21" s="35"/>
      <c r="IBK21" s="35"/>
      <c r="ILF21" s="35"/>
      <c r="ILG21" s="35"/>
      <c r="IVB21" s="35"/>
      <c r="IVC21" s="35"/>
      <c r="JEX21" s="35"/>
      <c r="JEY21" s="35"/>
      <c r="JOT21" s="35"/>
      <c r="JOU21" s="35"/>
      <c r="JYP21" s="35"/>
      <c r="JYQ21" s="35"/>
      <c r="KIL21" s="35"/>
      <c r="KIM21" s="35"/>
      <c r="KSH21" s="35"/>
      <c r="KSI21" s="35"/>
      <c r="LCD21" s="35"/>
      <c r="LCE21" s="35"/>
      <c r="LLZ21" s="35"/>
      <c r="LMA21" s="35"/>
      <c r="LVV21" s="35"/>
      <c r="LVW21" s="35"/>
      <c r="MFR21" s="35"/>
      <c r="MFS21" s="35"/>
      <c r="MPN21" s="35"/>
      <c r="MPO21" s="35"/>
      <c r="MZJ21" s="35"/>
      <c r="MZK21" s="35"/>
      <c r="NJF21" s="35"/>
      <c r="NJG21" s="35"/>
      <c r="NTB21" s="35"/>
      <c r="NTC21" s="35"/>
      <c r="OCX21" s="35"/>
      <c r="OCY21" s="35"/>
      <c r="OMT21" s="35"/>
      <c r="OMU21" s="35"/>
      <c r="OWP21" s="35"/>
      <c r="OWQ21" s="35"/>
      <c r="PGL21" s="35"/>
      <c r="PGM21" s="35"/>
      <c r="PQH21" s="35"/>
      <c r="PQI21" s="35"/>
      <c r="QAD21" s="35"/>
      <c r="QAE21" s="35"/>
      <c r="QJZ21" s="35"/>
      <c r="QKA21" s="35"/>
      <c r="QTV21" s="35"/>
      <c r="QTW21" s="35"/>
      <c r="RDR21" s="35"/>
      <c r="RDS21" s="35"/>
      <c r="RNN21" s="35"/>
      <c r="RNO21" s="35"/>
      <c r="RXJ21" s="35"/>
      <c r="RXK21" s="35"/>
      <c r="SHF21" s="35"/>
      <c r="SHG21" s="35"/>
      <c r="SRB21" s="35"/>
      <c r="SRC21" s="35"/>
      <c r="TAX21" s="35"/>
      <c r="TAY21" s="35"/>
      <c r="TKT21" s="35"/>
      <c r="TKU21" s="35"/>
      <c r="TUP21" s="35"/>
      <c r="TUQ21" s="35"/>
      <c r="UEL21" s="35"/>
      <c r="UEM21" s="35"/>
      <c r="UOH21" s="35"/>
      <c r="UOI21" s="35"/>
      <c r="UYD21" s="35"/>
      <c r="UYE21" s="35"/>
      <c r="VHZ21" s="35"/>
      <c r="VIA21" s="35"/>
      <c r="VRV21" s="35"/>
      <c r="VRW21" s="35"/>
      <c r="WBR21" s="35"/>
      <c r="WBS21" s="35"/>
      <c r="WLN21" s="35"/>
      <c r="WLO21" s="35"/>
      <c r="WVJ21" s="35"/>
      <c r="WVK21" s="35"/>
    </row>
    <row r="22" spans="1:771 1026:1795 2050:2819 3074:3843 4098:4867 5122:5891 6146:6915 7170:7939 8194:8963 9218:9987 10242:11011 11266:12035 12290:13059 13314:14083 14338:15107 15362:16131" s="35" customFormat="1" ht="55.2" x14ac:dyDescent="0.3">
      <c r="A22" s="28">
        <v>2</v>
      </c>
      <c r="B22" s="29" t="s">
        <v>39</v>
      </c>
      <c r="C22" s="30" t="s">
        <v>43</v>
      </c>
      <c r="D22" s="31" t="s">
        <v>13</v>
      </c>
      <c r="E22" s="32">
        <v>12</v>
      </c>
      <c r="F22" s="33"/>
      <c r="G22" s="33"/>
      <c r="H22" s="34" t="s">
        <v>48</v>
      </c>
    </row>
    <row r="23" spans="1:771 1026:1795 2050:2819 3074:3843 4098:4867 5122:5891 6146:6915 7170:7939 8194:8963 9218:9987 10242:11011 11266:12035 12290:13059 13314:14083 14338:15107 15362:16131" s="35" customFormat="1" x14ac:dyDescent="0.3">
      <c r="A23" s="36"/>
      <c r="B23" s="37" t="s">
        <v>40</v>
      </c>
      <c r="C23" s="38" t="s">
        <v>14</v>
      </c>
      <c r="D23" s="39"/>
      <c r="E23" s="44"/>
      <c r="F23" s="40"/>
      <c r="G23" s="41">
        <f>SUM(G24)</f>
        <v>124848000</v>
      </c>
      <c r="H23" s="42"/>
    </row>
    <row r="24" spans="1:771 1026:1795 2050:2819 3074:3843 4098:4867 5122:5891 6146:6915 7170:7939 8194:8963 9218:9987 10242:11011 11266:12035 12290:13059 13314:14083 14338:15107 15362:16131" s="35" customFormat="1" ht="78" x14ac:dyDescent="0.3">
      <c r="A24" s="36"/>
      <c r="B24" s="46" t="s">
        <v>41</v>
      </c>
      <c r="C24" s="43" t="s">
        <v>55</v>
      </c>
      <c r="D24" s="39" t="s">
        <v>13</v>
      </c>
      <c r="E24" s="44">
        <v>12</v>
      </c>
      <c r="F24" s="153">
        <v>10404000</v>
      </c>
      <c r="G24" s="40">
        <f>E24*F24</f>
        <v>124848000</v>
      </c>
      <c r="H24" s="45"/>
    </row>
    <row r="25" spans="1:771 1026:1795 2050:2819 3074:3843 4098:4867 5122:5891 6146:6915 7170:7939 8194:8963 9218:9987 10242:11011 11266:12035 12290:13059 13314:14083 14338:15107 15362:16131" s="35" customFormat="1" x14ac:dyDescent="0.3">
      <c r="A25" s="36"/>
      <c r="B25" s="50" t="s">
        <v>42</v>
      </c>
      <c r="C25" s="47" t="s">
        <v>35</v>
      </c>
      <c r="D25" s="39"/>
      <c r="E25" s="44"/>
      <c r="F25" s="40"/>
      <c r="G25" s="41">
        <f>SUM(G26)</f>
        <v>1850940</v>
      </c>
      <c r="H25" s="45"/>
    </row>
    <row r="26" spans="1:771 1026:1795 2050:2819 3074:3843 4098:4867 5122:5891 6146:6915 7170:7939 8194:8963 9218:9987 10242:11011 11266:12035 12290:13059 13314:14083 14338:15107 15362:16131" s="35" customFormat="1" ht="18.600000000000001" x14ac:dyDescent="0.3">
      <c r="A26" s="36"/>
      <c r="B26" s="46"/>
      <c r="C26" s="48" t="s">
        <v>44</v>
      </c>
      <c r="D26" s="39" t="s">
        <v>13</v>
      </c>
      <c r="E26" s="44">
        <f>2.34*5.65</f>
        <v>13.221</v>
      </c>
      <c r="F26" s="40">
        <v>140000</v>
      </c>
      <c r="G26" s="40">
        <f>E26*F26</f>
        <v>1850940</v>
      </c>
      <c r="H26" s="52"/>
    </row>
    <row r="27" spans="1:771 1026:1795 2050:2819 3074:3843 4098:4867 5122:5891 6146:6915 7170:7939 8194:8963 9218:9987 10242:11011 11266:12035 12290:13059 13314:14083 14338:15107 15362:16131" s="35" customFormat="1" x14ac:dyDescent="0.3">
      <c r="A27" s="36"/>
      <c r="B27" s="46"/>
      <c r="C27" s="51" t="s">
        <v>20</v>
      </c>
      <c r="D27" s="39"/>
      <c r="E27" s="44"/>
      <c r="F27" s="40" t="s">
        <v>2371</v>
      </c>
      <c r="G27" s="41">
        <f>SUM(G28:G30)</f>
        <v>280000</v>
      </c>
      <c r="H27" s="52"/>
    </row>
    <row r="28" spans="1:771 1026:1795 2050:2819 3074:3843 4098:4867 5122:5891 6146:6915 7170:7939 8194:8963 9218:9987 10242:11011 11266:12035 12290:13059 13314:14083 14338:15107 15362:16131" s="35" customFormat="1" x14ac:dyDescent="0.3">
      <c r="A28" s="36"/>
      <c r="B28" s="46"/>
      <c r="C28" s="50" t="s">
        <v>45</v>
      </c>
      <c r="D28" s="39" t="s">
        <v>21</v>
      </c>
      <c r="E28" s="44">
        <v>1</v>
      </c>
      <c r="F28" s="40">
        <v>160000</v>
      </c>
      <c r="G28" s="40">
        <f>E28*F28</f>
        <v>160000</v>
      </c>
      <c r="H28" s="52"/>
    </row>
    <row r="29" spans="1:771 1026:1795 2050:2819 3074:3843 4098:4867 5122:5891 6146:6915 7170:7939 8194:8963 9218:9987 10242:11011 11266:12035 12290:13059 13314:14083 14338:15107 15362:16131" s="35" customFormat="1" x14ac:dyDescent="0.3">
      <c r="A29" s="36"/>
      <c r="B29" s="46"/>
      <c r="C29" s="50" t="s">
        <v>47</v>
      </c>
      <c r="D29" s="39" t="s">
        <v>21</v>
      </c>
      <c r="E29" s="44">
        <v>1</v>
      </c>
      <c r="F29" s="40">
        <v>60000</v>
      </c>
      <c r="G29" s="40">
        <f>E29*F29</f>
        <v>60000</v>
      </c>
      <c r="H29" s="52"/>
    </row>
    <row r="30" spans="1:771 1026:1795 2050:2819 3074:3843 4098:4867 5122:5891 6146:6915 7170:7939 8194:8963 9218:9987 10242:11011 11266:12035 12290:13059 13314:14083 14338:15107 15362:16131" s="35" customFormat="1" x14ac:dyDescent="0.3">
      <c r="A30" s="36"/>
      <c r="B30" s="46"/>
      <c r="C30" s="50" t="s">
        <v>46</v>
      </c>
      <c r="D30" s="39" t="s">
        <v>21</v>
      </c>
      <c r="E30" s="44">
        <v>1</v>
      </c>
      <c r="F30" s="40">
        <v>60000</v>
      </c>
      <c r="G30" s="40">
        <f>E30*F30</f>
        <v>60000</v>
      </c>
      <c r="H30" s="52"/>
    </row>
    <row r="31" spans="1:771 1026:1795 2050:2819 3074:3843 4098:4867 5122:5891 6146:6915 7170:7939 8194:8963 9218:9987 10242:11011 11266:12035 12290:13059 13314:14083 14338:15107 15362:16131" s="35" customFormat="1" x14ac:dyDescent="0.3">
      <c r="A31" s="36"/>
      <c r="B31" s="46"/>
      <c r="C31" s="51" t="s">
        <v>23</v>
      </c>
      <c r="D31" s="39"/>
      <c r="E31" s="1"/>
      <c r="F31" s="2"/>
      <c r="G31" s="41">
        <f>SUM(G32)</f>
        <v>3060000</v>
      </c>
      <c r="H31" s="52"/>
    </row>
    <row r="32" spans="1:771 1026:1795 2050:2819 3074:3843 4098:4867 5122:5891 6146:6915 7170:7939 8194:8963 9218:9987 10242:11011 11266:12035 12290:13059 13314:14083 14338:15107 15362:16131" s="35" customFormat="1" x14ac:dyDescent="0.3">
      <c r="A32" s="36"/>
      <c r="B32" s="46"/>
      <c r="C32" s="50" t="s">
        <v>24</v>
      </c>
      <c r="D32" s="39" t="s">
        <v>25</v>
      </c>
      <c r="E32" s="1">
        <f>1*30*6</f>
        <v>180</v>
      </c>
      <c r="F32" s="2">
        <v>17000</v>
      </c>
      <c r="G32" s="40">
        <f>E32*F32</f>
        <v>3060000</v>
      </c>
      <c r="H32" s="42"/>
    </row>
    <row r="33" spans="1:771 1026:1795 2050:2819 3074:3843 4098:4867 5122:5891 6146:6915 7170:7939 8194:8963 9218:9987 10242:11011 11266:12035 12290:13059 13314:14083 14338:15107 15362:16131" s="35" customFormat="1" ht="65.400000000000006" thickBot="1" x14ac:dyDescent="0.35">
      <c r="A33" s="53"/>
      <c r="B33" s="54"/>
      <c r="C33" s="55" t="s">
        <v>2331</v>
      </c>
      <c r="D33" s="56"/>
      <c r="E33" s="5"/>
      <c r="F33" s="6"/>
      <c r="G33" s="57"/>
      <c r="H33" s="58"/>
    </row>
    <row r="34" spans="1:771 1026:1795 2050:2819 3074:3843 4098:4867 5122:5891 6146:6915 7170:7939 8194:8963 9218:9987 10242:11011 11266:12035 12290:13059 13314:14083 14338:15107 15362:16131" s="59" customFormat="1" ht="31.8" thickBot="1" x14ac:dyDescent="0.35">
      <c r="A34" s="154"/>
      <c r="B34" s="155" t="s">
        <v>26</v>
      </c>
      <c r="C34" s="156"/>
      <c r="D34" s="154"/>
      <c r="E34" s="157"/>
      <c r="F34" s="158"/>
      <c r="G34" s="159">
        <f>SUM(G22:G33)/2</f>
        <v>130038940</v>
      </c>
      <c r="H34" s="160"/>
      <c r="IX34" s="35"/>
      <c r="IY34" s="35"/>
      <c r="ST34" s="35"/>
      <c r="SU34" s="35"/>
      <c r="ACP34" s="35"/>
      <c r="ACQ34" s="35"/>
      <c r="AML34" s="35"/>
      <c r="AMM34" s="35"/>
      <c r="AWH34" s="35"/>
      <c r="AWI34" s="35"/>
      <c r="BGD34" s="35"/>
      <c r="BGE34" s="35"/>
      <c r="BPZ34" s="35"/>
      <c r="BQA34" s="35"/>
      <c r="BZV34" s="35"/>
      <c r="BZW34" s="35"/>
      <c r="CJR34" s="35"/>
      <c r="CJS34" s="35"/>
      <c r="CTN34" s="35"/>
      <c r="CTO34" s="35"/>
      <c r="DDJ34" s="35"/>
      <c r="DDK34" s="35"/>
      <c r="DNF34" s="35"/>
      <c r="DNG34" s="35"/>
      <c r="DXB34" s="35"/>
      <c r="DXC34" s="35"/>
      <c r="EGX34" s="35"/>
      <c r="EGY34" s="35"/>
      <c r="EQT34" s="35"/>
      <c r="EQU34" s="35"/>
      <c r="FAP34" s="35"/>
      <c r="FAQ34" s="35"/>
      <c r="FKL34" s="35"/>
      <c r="FKM34" s="35"/>
      <c r="FUH34" s="35"/>
      <c r="FUI34" s="35"/>
      <c r="GED34" s="35"/>
      <c r="GEE34" s="35"/>
      <c r="GNZ34" s="35"/>
      <c r="GOA34" s="35"/>
      <c r="GXV34" s="35"/>
      <c r="GXW34" s="35"/>
      <c r="HHR34" s="35"/>
      <c r="HHS34" s="35"/>
      <c r="HRN34" s="35"/>
      <c r="HRO34" s="35"/>
      <c r="IBJ34" s="35"/>
      <c r="IBK34" s="35"/>
      <c r="ILF34" s="35"/>
      <c r="ILG34" s="35"/>
      <c r="IVB34" s="35"/>
      <c r="IVC34" s="35"/>
      <c r="JEX34" s="35"/>
      <c r="JEY34" s="35"/>
      <c r="JOT34" s="35"/>
      <c r="JOU34" s="35"/>
      <c r="JYP34" s="35"/>
      <c r="JYQ34" s="35"/>
      <c r="KIL34" s="35"/>
      <c r="KIM34" s="35"/>
      <c r="KSH34" s="35"/>
      <c r="KSI34" s="35"/>
      <c r="LCD34" s="35"/>
      <c r="LCE34" s="35"/>
      <c r="LLZ34" s="35"/>
      <c r="LMA34" s="35"/>
      <c r="LVV34" s="35"/>
      <c r="LVW34" s="35"/>
      <c r="MFR34" s="35"/>
      <c r="MFS34" s="35"/>
      <c r="MPN34" s="35"/>
      <c r="MPO34" s="35"/>
      <c r="MZJ34" s="35"/>
      <c r="MZK34" s="35"/>
      <c r="NJF34" s="35"/>
      <c r="NJG34" s="35"/>
      <c r="NTB34" s="35"/>
      <c r="NTC34" s="35"/>
      <c r="OCX34" s="35"/>
      <c r="OCY34" s="35"/>
      <c r="OMT34" s="35"/>
      <c r="OMU34" s="35"/>
      <c r="OWP34" s="35"/>
      <c r="OWQ34" s="35"/>
      <c r="PGL34" s="35"/>
      <c r="PGM34" s="35"/>
      <c r="PQH34" s="35"/>
      <c r="PQI34" s="35"/>
      <c r="QAD34" s="35"/>
      <c r="QAE34" s="35"/>
      <c r="QJZ34" s="35"/>
      <c r="QKA34" s="35"/>
      <c r="QTV34" s="35"/>
      <c r="QTW34" s="35"/>
      <c r="RDR34" s="35"/>
      <c r="RDS34" s="35"/>
      <c r="RNN34" s="35"/>
      <c r="RNO34" s="35"/>
      <c r="RXJ34" s="35"/>
      <c r="RXK34" s="35"/>
      <c r="SHF34" s="35"/>
      <c r="SHG34" s="35"/>
      <c r="SRB34" s="35"/>
      <c r="SRC34" s="35"/>
      <c r="TAX34" s="35"/>
      <c r="TAY34" s="35"/>
      <c r="TKT34" s="35"/>
      <c r="TKU34" s="35"/>
      <c r="TUP34" s="35"/>
      <c r="TUQ34" s="35"/>
      <c r="UEL34" s="35"/>
      <c r="UEM34" s="35"/>
      <c r="UOH34" s="35"/>
      <c r="UOI34" s="35"/>
      <c r="UYD34" s="35"/>
      <c r="UYE34" s="35"/>
      <c r="VHZ34" s="35"/>
      <c r="VIA34" s="35"/>
      <c r="VRV34" s="35"/>
      <c r="VRW34" s="35"/>
      <c r="WBR34" s="35"/>
      <c r="WBS34" s="35"/>
      <c r="WLN34" s="35"/>
      <c r="WLO34" s="35"/>
      <c r="WVJ34" s="35"/>
      <c r="WVK34" s="35"/>
    </row>
    <row r="35" spans="1:771 1026:1795 2050:2819 3074:3843 4098:4867 5122:5891 6146:6915 7170:7939 8194:8963 9218:9987 10242:11011 11266:12035 12290:13059 13314:14083 14338:15107 15362:16131" s="35" customFormat="1" ht="55.2" x14ac:dyDescent="0.3">
      <c r="A35" s="28">
        <v>3</v>
      </c>
      <c r="B35" s="29" t="s">
        <v>49</v>
      </c>
      <c r="C35" s="30" t="s">
        <v>54</v>
      </c>
      <c r="D35" s="31" t="s">
        <v>13</v>
      </c>
      <c r="E35" s="32">
        <v>11.3</v>
      </c>
      <c r="F35" s="33"/>
      <c r="G35" s="33"/>
      <c r="H35" s="34" t="s">
        <v>56</v>
      </c>
    </row>
    <row r="36" spans="1:771 1026:1795 2050:2819 3074:3843 4098:4867 5122:5891 6146:6915 7170:7939 8194:8963 9218:9987 10242:11011 11266:12035 12290:13059 13314:14083 14338:15107 15362:16131" s="35" customFormat="1" ht="31.2" x14ac:dyDescent="0.3">
      <c r="A36" s="36"/>
      <c r="B36" s="37" t="s">
        <v>50</v>
      </c>
      <c r="C36" s="38" t="s">
        <v>14</v>
      </c>
      <c r="D36" s="39"/>
      <c r="E36" s="44"/>
      <c r="F36" s="40"/>
      <c r="G36" s="41">
        <f>SUM(G37)</f>
        <v>220112700</v>
      </c>
      <c r="H36" s="42"/>
    </row>
    <row r="37" spans="1:771 1026:1795 2050:2819 3074:3843 4098:4867 5122:5891 6146:6915 7170:7939 8194:8963 9218:9987 10242:11011 11266:12035 12290:13059 13314:14083 14338:15107 15362:16131" s="35" customFormat="1" ht="18.600000000000001" x14ac:dyDescent="0.3">
      <c r="A37" s="36"/>
      <c r="B37" s="37" t="s">
        <v>51</v>
      </c>
      <c r="C37" s="48" t="s">
        <v>38</v>
      </c>
      <c r="D37" s="39" t="s">
        <v>13</v>
      </c>
      <c r="E37" s="44">
        <v>11.3</v>
      </c>
      <c r="F37" s="161">
        <v>19479000</v>
      </c>
      <c r="G37" s="40">
        <f>E37*F37</f>
        <v>220112700</v>
      </c>
      <c r="H37" s="42"/>
    </row>
    <row r="38" spans="1:771 1026:1795 2050:2819 3074:3843 4098:4867 5122:5891 6146:6915 7170:7939 8194:8963 9218:9987 10242:11011 11266:12035 12290:13059 13314:14083 14338:15107 15362:16131" s="35" customFormat="1" ht="78" x14ac:dyDescent="0.3">
      <c r="A38" s="36"/>
      <c r="B38" s="46" t="s">
        <v>52</v>
      </c>
      <c r="C38" s="47" t="s">
        <v>35</v>
      </c>
      <c r="D38" s="39"/>
      <c r="E38" s="50"/>
      <c r="F38" s="40"/>
      <c r="G38" s="41">
        <f>SUM(G39:G40)</f>
        <v>2401920</v>
      </c>
      <c r="H38" s="45"/>
    </row>
    <row r="39" spans="1:771 1026:1795 2050:2819 3074:3843 4098:4867 5122:5891 6146:6915 7170:7939 8194:8963 9218:9987 10242:11011 11266:12035 12290:13059 13314:14083 14338:15107 15362:16131" s="35" customFormat="1" ht="18.600000000000001" x14ac:dyDescent="0.3">
      <c r="A39" s="36"/>
      <c r="B39" s="50" t="s">
        <v>53</v>
      </c>
      <c r="C39" s="48" t="s">
        <v>57</v>
      </c>
      <c r="D39" s="39" t="s">
        <v>13</v>
      </c>
      <c r="E39" s="44">
        <f>4.8*2.34</f>
        <v>11.231999999999999</v>
      </c>
      <c r="F39" s="40">
        <v>140000</v>
      </c>
      <c r="G39" s="40">
        <f>E39*F39</f>
        <v>1572480</v>
      </c>
      <c r="H39" s="52"/>
    </row>
    <row r="40" spans="1:771 1026:1795 2050:2819 3074:3843 4098:4867 5122:5891 6146:6915 7170:7939 8194:8963 9218:9987 10242:11011 11266:12035 12290:13059 13314:14083 14338:15107 15362:16131" s="35" customFormat="1" ht="41.4" x14ac:dyDescent="0.3">
      <c r="A40" s="36"/>
      <c r="B40" s="46"/>
      <c r="C40" s="48" t="s">
        <v>58</v>
      </c>
      <c r="D40" s="39" t="s">
        <v>13</v>
      </c>
      <c r="E40" s="44">
        <f>0.8*4.8</f>
        <v>3.84</v>
      </c>
      <c r="F40" s="40">
        <f>540000*40%</f>
        <v>216000</v>
      </c>
      <c r="G40" s="40">
        <f>E40*F40</f>
        <v>829440</v>
      </c>
      <c r="H40" s="42" t="s">
        <v>2372</v>
      </c>
    </row>
    <row r="41" spans="1:771 1026:1795 2050:2819 3074:3843 4098:4867 5122:5891 6146:6915 7170:7939 8194:8963 9218:9987 10242:11011 11266:12035 12290:13059 13314:14083 14338:15107 15362:16131" s="35" customFormat="1" x14ac:dyDescent="0.3">
      <c r="A41" s="36"/>
      <c r="B41" s="46"/>
      <c r="C41" s="51" t="s">
        <v>20</v>
      </c>
      <c r="D41" s="39"/>
      <c r="E41" s="44"/>
      <c r="F41" s="40"/>
      <c r="G41" s="41">
        <f>SUM(G42:G46)</f>
        <v>740000</v>
      </c>
      <c r="H41" s="52"/>
    </row>
    <row r="42" spans="1:771 1026:1795 2050:2819 3074:3843 4098:4867 5122:5891 6146:6915 7170:7939 8194:8963 9218:9987 10242:11011 11266:12035 12290:13059 13314:14083 14338:15107 15362:16131" s="35" customFormat="1" x14ac:dyDescent="0.3">
      <c r="A42" s="36"/>
      <c r="B42" s="46"/>
      <c r="C42" s="50" t="s">
        <v>59</v>
      </c>
      <c r="D42" s="39" t="s">
        <v>22</v>
      </c>
      <c r="E42" s="44">
        <v>1</v>
      </c>
      <c r="F42" s="40">
        <v>40000</v>
      </c>
      <c r="G42" s="40">
        <f>E42*F42</f>
        <v>40000</v>
      </c>
      <c r="H42" s="52"/>
    </row>
    <row r="43" spans="1:771 1026:1795 2050:2819 3074:3843 4098:4867 5122:5891 6146:6915 7170:7939 8194:8963 9218:9987 10242:11011 11266:12035 12290:13059 13314:14083 14338:15107 15362:16131" s="35" customFormat="1" x14ac:dyDescent="0.3">
      <c r="A43" s="36"/>
      <c r="B43" s="46"/>
      <c r="C43" s="50" t="s">
        <v>60</v>
      </c>
      <c r="D43" s="39" t="s">
        <v>22</v>
      </c>
      <c r="E43" s="44">
        <v>1</v>
      </c>
      <c r="F43" s="40">
        <v>40000</v>
      </c>
      <c r="G43" s="40">
        <f>E43*F43</f>
        <v>40000</v>
      </c>
      <c r="H43" s="52"/>
    </row>
    <row r="44" spans="1:771 1026:1795 2050:2819 3074:3843 4098:4867 5122:5891 6146:6915 7170:7939 8194:8963 9218:9987 10242:11011 11266:12035 12290:13059 13314:14083 14338:15107 15362:16131" s="35" customFormat="1" x14ac:dyDescent="0.3">
      <c r="A44" s="36"/>
      <c r="B44" s="46"/>
      <c r="C44" s="50" t="s">
        <v>61</v>
      </c>
      <c r="D44" s="39" t="s">
        <v>22</v>
      </c>
      <c r="E44" s="44">
        <v>1</v>
      </c>
      <c r="F44" s="40">
        <v>20000</v>
      </c>
      <c r="G44" s="40">
        <f>E44*F44</f>
        <v>20000</v>
      </c>
      <c r="H44" s="52"/>
    </row>
    <row r="45" spans="1:771 1026:1795 2050:2819 3074:3843 4098:4867 5122:5891 6146:6915 7170:7939 8194:8963 9218:9987 10242:11011 11266:12035 12290:13059 13314:14083 14338:15107 15362:16131" s="35" customFormat="1" x14ac:dyDescent="0.3">
      <c r="A45" s="36"/>
      <c r="B45" s="46"/>
      <c r="C45" s="50" t="s">
        <v>36</v>
      </c>
      <c r="D45" s="39" t="s">
        <v>22</v>
      </c>
      <c r="E45" s="44">
        <v>10</v>
      </c>
      <c r="F45" s="40">
        <v>4000</v>
      </c>
      <c r="G45" s="40">
        <f>E45*F45</f>
        <v>40000</v>
      </c>
      <c r="H45" s="52"/>
    </row>
    <row r="46" spans="1:771 1026:1795 2050:2819 3074:3843 4098:4867 5122:5891 6146:6915 7170:7939 8194:8963 9218:9987 10242:11011 11266:12035 12290:13059 13314:14083 14338:15107 15362:16131" s="35" customFormat="1" x14ac:dyDescent="0.3">
      <c r="A46" s="36"/>
      <c r="B46" s="46"/>
      <c r="C46" s="50" t="s">
        <v>62</v>
      </c>
      <c r="D46" s="39" t="s">
        <v>21</v>
      </c>
      <c r="E46" s="44">
        <v>1</v>
      </c>
      <c r="F46" s="40">
        <v>600000</v>
      </c>
      <c r="G46" s="40">
        <f>E46*F46</f>
        <v>600000</v>
      </c>
      <c r="H46" s="52"/>
    </row>
    <row r="47" spans="1:771 1026:1795 2050:2819 3074:3843 4098:4867 5122:5891 6146:6915 7170:7939 8194:8963 9218:9987 10242:11011 11266:12035 12290:13059 13314:14083 14338:15107 15362:16131" s="35" customFormat="1" x14ac:dyDescent="0.3">
      <c r="A47" s="36"/>
      <c r="B47" s="46"/>
      <c r="C47" s="51" t="s">
        <v>23</v>
      </c>
      <c r="D47" s="39"/>
      <c r="E47" s="1"/>
      <c r="F47" s="2"/>
      <c r="G47" s="41">
        <f>SUM(G48)</f>
        <v>3060000</v>
      </c>
      <c r="H47" s="52"/>
    </row>
    <row r="48" spans="1:771 1026:1795 2050:2819 3074:3843 4098:4867 5122:5891 6146:6915 7170:7939 8194:8963 9218:9987 10242:11011 11266:12035 12290:13059 13314:14083 14338:15107 15362:16131" s="35" customFormat="1" x14ac:dyDescent="0.3">
      <c r="A48" s="36"/>
      <c r="B48" s="46"/>
      <c r="C48" s="50" t="s">
        <v>24</v>
      </c>
      <c r="D48" s="39" t="s">
        <v>25</v>
      </c>
      <c r="E48" s="1">
        <f>1*30*6</f>
        <v>180</v>
      </c>
      <c r="F48" s="2">
        <v>17000</v>
      </c>
      <c r="G48" s="40">
        <f>E48*F48</f>
        <v>3060000</v>
      </c>
      <c r="H48" s="42"/>
    </row>
    <row r="49" spans="1:771 1026:1795 2050:2819 3074:3843 4098:4867 5122:5891 6146:6915 7170:7939 8194:8963 9218:9987 10242:11011 11266:12035 12290:13059 13314:14083 14338:15107 15362:16131" s="35" customFormat="1" ht="65.400000000000006" thickBot="1" x14ac:dyDescent="0.35">
      <c r="A49" s="53"/>
      <c r="B49" s="54"/>
      <c r="C49" s="55" t="s">
        <v>2331</v>
      </c>
      <c r="D49" s="56"/>
      <c r="E49" s="5"/>
      <c r="F49" s="6"/>
      <c r="G49" s="57"/>
      <c r="H49" s="58"/>
    </row>
    <row r="50" spans="1:771 1026:1795 2050:2819 3074:3843 4098:4867 5122:5891 6146:6915 7170:7939 8194:8963 9218:9987 10242:11011 11266:12035 12290:13059 13314:14083 14338:15107 15362:16131" s="59" customFormat="1" ht="31.8" thickBot="1" x14ac:dyDescent="0.35">
      <c r="A50" s="154"/>
      <c r="B50" s="155" t="s">
        <v>26</v>
      </c>
      <c r="C50" s="156"/>
      <c r="D50" s="154"/>
      <c r="E50" s="157"/>
      <c r="F50" s="158"/>
      <c r="G50" s="159">
        <f>SUM(G35:G49)/2</f>
        <v>226314620</v>
      </c>
      <c r="H50" s="160"/>
      <c r="IX50" s="35"/>
      <c r="IY50" s="35"/>
      <c r="ST50" s="35"/>
      <c r="SU50" s="35"/>
      <c r="ACP50" s="35"/>
      <c r="ACQ50" s="35"/>
      <c r="AML50" s="35"/>
      <c r="AMM50" s="35"/>
      <c r="AWH50" s="35"/>
      <c r="AWI50" s="35"/>
      <c r="BGD50" s="35"/>
      <c r="BGE50" s="35"/>
      <c r="BPZ50" s="35"/>
      <c r="BQA50" s="35"/>
      <c r="BZV50" s="35"/>
      <c r="BZW50" s="35"/>
      <c r="CJR50" s="35"/>
      <c r="CJS50" s="35"/>
      <c r="CTN50" s="35"/>
      <c r="CTO50" s="35"/>
      <c r="DDJ50" s="35"/>
      <c r="DDK50" s="35"/>
      <c r="DNF50" s="35"/>
      <c r="DNG50" s="35"/>
      <c r="DXB50" s="35"/>
      <c r="DXC50" s="35"/>
      <c r="EGX50" s="35"/>
      <c r="EGY50" s="35"/>
      <c r="EQT50" s="35"/>
      <c r="EQU50" s="35"/>
      <c r="FAP50" s="35"/>
      <c r="FAQ50" s="35"/>
      <c r="FKL50" s="35"/>
      <c r="FKM50" s="35"/>
      <c r="FUH50" s="35"/>
      <c r="FUI50" s="35"/>
      <c r="GED50" s="35"/>
      <c r="GEE50" s="35"/>
      <c r="GNZ50" s="35"/>
      <c r="GOA50" s="35"/>
      <c r="GXV50" s="35"/>
      <c r="GXW50" s="35"/>
      <c r="HHR50" s="35"/>
      <c r="HHS50" s="35"/>
      <c r="HRN50" s="35"/>
      <c r="HRO50" s="35"/>
      <c r="IBJ50" s="35"/>
      <c r="IBK50" s="35"/>
      <c r="ILF50" s="35"/>
      <c r="ILG50" s="35"/>
      <c r="IVB50" s="35"/>
      <c r="IVC50" s="35"/>
      <c r="JEX50" s="35"/>
      <c r="JEY50" s="35"/>
      <c r="JOT50" s="35"/>
      <c r="JOU50" s="35"/>
      <c r="JYP50" s="35"/>
      <c r="JYQ50" s="35"/>
      <c r="KIL50" s="35"/>
      <c r="KIM50" s="35"/>
      <c r="KSH50" s="35"/>
      <c r="KSI50" s="35"/>
      <c r="LCD50" s="35"/>
      <c r="LCE50" s="35"/>
      <c r="LLZ50" s="35"/>
      <c r="LMA50" s="35"/>
      <c r="LVV50" s="35"/>
      <c r="LVW50" s="35"/>
      <c r="MFR50" s="35"/>
      <c r="MFS50" s="35"/>
      <c r="MPN50" s="35"/>
      <c r="MPO50" s="35"/>
      <c r="MZJ50" s="35"/>
      <c r="MZK50" s="35"/>
      <c r="NJF50" s="35"/>
      <c r="NJG50" s="35"/>
      <c r="NTB50" s="35"/>
      <c r="NTC50" s="35"/>
      <c r="OCX50" s="35"/>
      <c r="OCY50" s="35"/>
      <c r="OMT50" s="35"/>
      <c r="OMU50" s="35"/>
      <c r="OWP50" s="35"/>
      <c r="OWQ50" s="35"/>
      <c r="PGL50" s="35"/>
      <c r="PGM50" s="35"/>
      <c r="PQH50" s="35"/>
      <c r="PQI50" s="35"/>
      <c r="QAD50" s="35"/>
      <c r="QAE50" s="35"/>
      <c r="QJZ50" s="35"/>
      <c r="QKA50" s="35"/>
      <c r="QTV50" s="35"/>
      <c r="QTW50" s="35"/>
      <c r="RDR50" s="35"/>
      <c r="RDS50" s="35"/>
      <c r="RNN50" s="35"/>
      <c r="RNO50" s="35"/>
      <c r="RXJ50" s="35"/>
      <c r="RXK50" s="35"/>
      <c r="SHF50" s="35"/>
      <c r="SHG50" s="35"/>
      <c r="SRB50" s="35"/>
      <c r="SRC50" s="35"/>
      <c r="TAX50" s="35"/>
      <c r="TAY50" s="35"/>
      <c r="TKT50" s="35"/>
      <c r="TKU50" s="35"/>
      <c r="TUP50" s="35"/>
      <c r="TUQ50" s="35"/>
      <c r="UEL50" s="35"/>
      <c r="UEM50" s="35"/>
      <c r="UOH50" s="35"/>
      <c r="UOI50" s="35"/>
      <c r="UYD50" s="35"/>
      <c r="UYE50" s="35"/>
      <c r="VHZ50" s="35"/>
      <c r="VIA50" s="35"/>
      <c r="VRV50" s="35"/>
      <c r="VRW50" s="35"/>
      <c r="WBR50" s="35"/>
      <c r="WBS50" s="35"/>
      <c r="WLN50" s="35"/>
      <c r="WLO50" s="35"/>
      <c r="WVJ50" s="35"/>
      <c r="WVK50" s="35"/>
    </row>
    <row r="51" spans="1:771 1026:1795 2050:2819 3074:3843 4098:4867 5122:5891 6146:6915 7170:7939 8194:8963 9218:9987 10242:11011 11266:12035 12290:13059 13314:14083 14338:15107 15362:16131" s="35" customFormat="1" ht="55.2" x14ac:dyDescent="0.3">
      <c r="A51" s="28">
        <v>4</v>
      </c>
      <c r="B51" s="29" t="s">
        <v>63</v>
      </c>
      <c r="C51" s="30" t="s">
        <v>72</v>
      </c>
      <c r="D51" s="31" t="s">
        <v>13</v>
      </c>
      <c r="E51" s="32">
        <v>9.4</v>
      </c>
      <c r="F51" s="33"/>
      <c r="G51" s="33"/>
      <c r="H51" s="34" t="s">
        <v>74</v>
      </c>
    </row>
    <row r="52" spans="1:771 1026:1795 2050:2819 3074:3843 4098:4867 5122:5891 6146:6915 7170:7939 8194:8963 9218:9987 10242:11011 11266:12035 12290:13059 13314:14083 14338:15107 15362:16131" s="35" customFormat="1" ht="31.2" x14ac:dyDescent="0.3">
      <c r="A52" s="36"/>
      <c r="B52" s="37" t="s">
        <v>68</v>
      </c>
      <c r="C52" s="38" t="s">
        <v>14</v>
      </c>
      <c r="D52" s="39"/>
      <c r="E52" s="44"/>
      <c r="F52" s="40"/>
      <c r="G52" s="41">
        <f>SUM(G53)</f>
        <v>183102600</v>
      </c>
      <c r="H52" s="42" t="s">
        <v>73</v>
      </c>
    </row>
    <row r="53" spans="1:771 1026:1795 2050:2819 3074:3843 4098:4867 5122:5891 6146:6915 7170:7939 8194:8963 9218:9987 10242:11011 11266:12035 12290:13059 13314:14083 14338:15107 15362:16131" s="35" customFormat="1" ht="18.600000000000001" x14ac:dyDescent="0.3">
      <c r="A53" s="36"/>
      <c r="B53" s="37" t="s">
        <v>69</v>
      </c>
      <c r="C53" s="48" t="s">
        <v>38</v>
      </c>
      <c r="D53" s="39" t="s">
        <v>13</v>
      </c>
      <c r="E53" s="44">
        <v>9.4</v>
      </c>
      <c r="F53" s="161">
        <v>19479000</v>
      </c>
      <c r="G53" s="40">
        <f>E53*F53</f>
        <v>183102600</v>
      </c>
      <c r="H53" s="42"/>
    </row>
    <row r="54" spans="1:771 1026:1795 2050:2819 3074:3843 4098:4867 5122:5891 6146:6915 7170:7939 8194:8963 9218:9987 10242:11011 11266:12035 12290:13059 13314:14083 14338:15107 15362:16131" s="35" customFormat="1" ht="62.4" x14ac:dyDescent="0.3">
      <c r="A54" s="36"/>
      <c r="B54" s="46" t="s">
        <v>70</v>
      </c>
      <c r="C54" s="47" t="s">
        <v>35</v>
      </c>
      <c r="D54" s="39"/>
      <c r="E54" s="44"/>
      <c r="F54" s="40"/>
      <c r="G54" s="41">
        <f>SUM(G55:G56)</f>
        <v>15664896</v>
      </c>
      <c r="H54" s="45"/>
    </row>
    <row r="55" spans="1:771 1026:1795 2050:2819 3074:3843 4098:4867 5122:5891 6146:6915 7170:7939 8194:8963 9218:9987 10242:11011 11266:12035 12290:13059 13314:14083 14338:15107 15362:16131" s="35" customFormat="1" ht="62.4" x14ac:dyDescent="0.3">
      <c r="A55" s="36"/>
      <c r="B55" s="50" t="s">
        <v>71</v>
      </c>
      <c r="C55" s="48" t="s">
        <v>160</v>
      </c>
      <c r="D55" s="39" t="s">
        <v>13</v>
      </c>
      <c r="E55" s="44">
        <f>(4*1.86)*0.5</f>
        <v>3.72</v>
      </c>
      <c r="F55" s="40">
        <f>3592000*40%</f>
        <v>1436800</v>
      </c>
      <c r="G55" s="40">
        <f>E55*F55</f>
        <v>5344896</v>
      </c>
      <c r="H55" s="48" t="s">
        <v>2373</v>
      </c>
    </row>
    <row r="56" spans="1:771 1026:1795 2050:2819 3074:3843 4098:4867 5122:5891 6146:6915 7170:7939 8194:8963 9218:9987 10242:11011 11266:12035 12290:13059 13314:14083 14338:15107 15362:16131" s="35" customFormat="1" ht="18.600000000000001" x14ac:dyDescent="0.3">
      <c r="A56" s="36"/>
      <c r="B56" s="46"/>
      <c r="C56" s="48" t="s">
        <v>75</v>
      </c>
      <c r="D56" s="39" t="s">
        <v>13</v>
      </c>
      <c r="E56" s="44">
        <f>2.5*4</f>
        <v>10</v>
      </c>
      <c r="F56" s="40">
        <v>1032000</v>
      </c>
      <c r="G56" s="40">
        <f>E56*F56</f>
        <v>10320000</v>
      </c>
      <c r="H56" s="52"/>
    </row>
    <row r="57" spans="1:771 1026:1795 2050:2819 3074:3843 4098:4867 5122:5891 6146:6915 7170:7939 8194:8963 9218:9987 10242:11011 11266:12035 12290:13059 13314:14083 14338:15107 15362:16131" s="35" customFormat="1" ht="65.400000000000006" thickBot="1" x14ac:dyDescent="0.35">
      <c r="A57" s="53"/>
      <c r="B57" s="54"/>
      <c r="C57" s="55" t="s">
        <v>2331</v>
      </c>
      <c r="D57" s="56"/>
      <c r="E57" s="5"/>
      <c r="F57" s="6"/>
      <c r="G57" s="57"/>
      <c r="H57" s="58"/>
    </row>
    <row r="58" spans="1:771 1026:1795 2050:2819 3074:3843 4098:4867 5122:5891 6146:6915 7170:7939 8194:8963 9218:9987 10242:11011 11266:12035 12290:13059 13314:14083 14338:15107 15362:16131" s="59" customFormat="1" ht="31.8" thickBot="1" x14ac:dyDescent="0.35">
      <c r="A58" s="154"/>
      <c r="B58" s="155" t="s">
        <v>26</v>
      </c>
      <c r="C58" s="156"/>
      <c r="D58" s="154"/>
      <c r="E58" s="157"/>
      <c r="F58" s="158"/>
      <c r="G58" s="159">
        <f>SUM(G51:G57)/2</f>
        <v>198767496</v>
      </c>
      <c r="H58" s="160"/>
      <c r="IX58" s="35"/>
      <c r="IY58" s="35"/>
      <c r="ST58" s="35"/>
      <c r="SU58" s="35"/>
      <c r="ACP58" s="35"/>
      <c r="ACQ58" s="35"/>
      <c r="AML58" s="35"/>
      <c r="AMM58" s="35"/>
      <c r="AWH58" s="35"/>
      <c r="AWI58" s="35"/>
      <c r="BGD58" s="35"/>
      <c r="BGE58" s="35"/>
      <c r="BPZ58" s="35"/>
      <c r="BQA58" s="35"/>
      <c r="BZV58" s="35"/>
      <c r="BZW58" s="35"/>
      <c r="CJR58" s="35"/>
      <c r="CJS58" s="35"/>
      <c r="CTN58" s="35"/>
      <c r="CTO58" s="35"/>
      <c r="DDJ58" s="35"/>
      <c r="DDK58" s="35"/>
      <c r="DNF58" s="35"/>
      <c r="DNG58" s="35"/>
      <c r="DXB58" s="35"/>
      <c r="DXC58" s="35"/>
      <c r="EGX58" s="35"/>
      <c r="EGY58" s="35"/>
      <c r="EQT58" s="35"/>
      <c r="EQU58" s="35"/>
      <c r="FAP58" s="35"/>
      <c r="FAQ58" s="35"/>
      <c r="FKL58" s="35"/>
      <c r="FKM58" s="35"/>
      <c r="FUH58" s="35"/>
      <c r="FUI58" s="35"/>
      <c r="GED58" s="35"/>
      <c r="GEE58" s="35"/>
      <c r="GNZ58" s="35"/>
      <c r="GOA58" s="35"/>
      <c r="GXV58" s="35"/>
      <c r="GXW58" s="35"/>
      <c r="HHR58" s="35"/>
      <c r="HHS58" s="35"/>
      <c r="HRN58" s="35"/>
      <c r="HRO58" s="35"/>
      <c r="IBJ58" s="35"/>
      <c r="IBK58" s="35"/>
      <c r="ILF58" s="35"/>
      <c r="ILG58" s="35"/>
      <c r="IVB58" s="35"/>
      <c r="IVC58" s="35"/>
      <c r="JEX58" s="35"/>
      <c r="JEY58" s="35"/>
      <c r="JOT58" s="35"/>
      <c r="JOU58" s="35"/>
      <c r="JYP58" s="35"/>
      <c r="JYQ58" s="35"/>
      <c r="KIL58" s="35"/>
      <c r="KIM58" s="35"/>
      <c r="KSH58" s="35"/>
      <c r="KSI58" s="35"/>
      <c r="LCD58" s="35"/>
      <c r="LCE58" s="35"/>
      <c r="LLZ58" s="35"/>
      <c r="LMA58" s="35"/>
      <c r="LVV58" s="35"/>
      <c r="LVW58" s="35"/>
      <c r="MFR58" s="35"/>
      <c r="MFS58" s="35"/>
      <c r="MPN58" s="35"/>
      <c r="MPO58" s="35"/>
      <c r="MZJ58" s="35"/>
      <c r="MZK58" s="35"/>
      <c r="NJF58" s="35"/>
      <c r="NJG58" s="35"/>
      <c r="NTB58" s="35"/>
      <c r="NTC58" s="35"/>
      <c r="OCX58" s="35"/>
      <c r="OCY58" s="35"/>
      <c r="OMT58" s="35"/>
      <c r="OMU58" s="35"/>
      <c r="OWP58" s="35"/>
      <c r="OWQ58" s="35"/>
      <c r="PGL58" s="35"/>
      <c r="PGM58" s="35"/>
      <c r="PQH58" s="35"/>
      <c r="PQI58" s="35"/>
      <c r="QAD58" s="35"/>
      <c r="QAE58" s="35"/>
      <c r="QJZ58" s="35"/>
      <c r="QKA58" s="35"/>
      <c r="QTV58" s="35"/>
      <c r="QTW58" s="35"/>
      <c r="RDR58" s="35"/>
      <c r="RDS58" s="35"/>
      <c r="RNN58" s="35"/>
      <c r="RNO58" s="35"/>
      <c r="RXJ58" s="35"/>
      <c r="RXK58" s="35"/>
      <c r="SHF58" s="35"/>
      <c r="SHG58" s="35"/>
      <c r="SRB58" s="35"/>
      <c r="SRC58" s="35"/>
      <c r="TAX58" s="35"/>
      <c r="TAY58" s="35"/>
      <c r="TKT58" s="35"/>
      <c r="TKU58" s="35"/>
      <c r="TUP58" s="35"/>
      <c r="TUQ58" s="35"/>
      <c r="UEL58" s="35"/>
      <c r="UEM58" s="35"/>
      <c r="UOH58" s="35"/>
      <c r="UOI58" s="35"/>
      <c r="UYD58" s="35"/>
      <c r="UYE58" s="35"/>
      <c r="VHZ58" s="35"/>
      <c r="VIA58" s="35"/>
      <c r="VRV58" s="35"/>
      <c r="VRW58" s="35"/>
      <c r="WBR58" s="35"/>
      <c r="WBS58" s="35"/>
      <c r="WLN58" s="35"/>
      <c r="WLO58" s="35"/>
      <c r="WVJ58" s="35"/>
      <c r="WVK58" s="35"/>
    </row>
    <row r="59" spans="1:771 1026:1795 2050:2819 3074:3843 4098:4867 5122:5891 6146:6915 7170:7939 8194:8963 9218:9987 10242:11011 11266:12035 12290:13059 13314:14083 14338:15107 15362:16131" s="35" customFormat="1" ht="55.2" x14ac:dyDescent="0.3">
      <c r="A59" s="28">
        <v>5</v>
      </c>
      <c r="B59" s="29" t="s">
        <v>77</v>
      </c>
      <c r="C59" s="30" t="s">
        <v>76</v>
      </c>
      <c r="D59" s="31" t="s">
        <v>13</v>
      </c>
      <c r="E59" s="32">
        <v>14.7</v>
      </c>
      <c r="F59" s="33"/>
      <c r="G59" s="33"/>
      <c r="H59" s="34" t="s">
        <v>82</v>
      </c>
    </row>
    <row r="60" spans="1:771 1026:1795 2050:2819 3074:3843 4098:4867 5122:5891 6146:6915 7170:7939 8194:8963 9218:9987 10242:11011 11266:12035 12290:13059 13314:14083 14338:15107 15362:16131" s="35" customFormat="1" ht="41.4" x14ac:dyDescent="0.3">
      <c r="A60" s="36"/>
      <c r="B60" s="37" t="s">
        <v>78</v>
      </c>
      <c r="C60" s="38" t="s">
        <v>14</v>
      </c>
      <c r="D60" s="39"/>
      <c r="E60" s="44"/>
      <c r="F60" s="40"/>
      <c r="G60" s="41">
        <f>SUM(G61)</f>
        <v>286341300</v>
      </c>
      <c r="H60" s="42" t="s">
        <v>85</v>
      </c>
    </row>
    <row r="61" spans="1:771 1026:1795 2050:2819 3074:3843 4098:4867 5122:5891 6146:6915 7170:7939 8194:8963 9218:9987 10242:11011 11266:12035 12290:13059 13314:14083 14338:15107 15362:16131" s="35" customFormat="1" ht="18.600000000000001" x14ac:dyDescent="0.3">
      <c r="A61" s="36"/>
      <c r="B61" s="37" t="s">
        <v>79</v>
      </c>
      <c r="C61" s="48" t="s">
        <v>38</v>
      </c>
      <c r="D61" s="39" t="s">
        <v>13</v>
      </c>
      <c r="E61" s="44">
        <v>14.7</v>
      </c>
      <c r="F61" s="161">
        <v>19479000</v>
      </c>
      <c r="G61" s="40">
        <f>E61*F61</f>
        <v>286341300</v>
      </c>
      <c r="H61" s="42"/>
    </row>
    <row r="62" spans="1:771 1026:1795 2050:2819 3074:3843 4098:4867 5122:5891 6146:6915 7170:7939 8194:8963 9218:9987 10242:11011 11266:12035 12290:13059 13314:14083 14338:15107 15362:16131" s="35" customFormat="1" ht="78" x14ac:dyDescent="0.3">
      <c r="A62" s="36"/>
      <c r="B62" s="46" t="s">
        <v>80</v>
      </c>
      <c r="C62" s="43"/>
      <c r="D62" s="39"/>
      <c r="E62" s="44"/>
      <c r="F62" s="40"/>
      <c r="G62" s="40"/>
      <c r="H62" s="42"/>
    </row>
    <row r="63" spans="1:771 1026:1795 2050:2819 3074:3843 4098:4867 5122:5891 6146:6915 7170:7939 8194:8963 9218:9987 10242:11011 11266:12035 12290:13059 13314:14083 14338:15107 15362:16131" s="35" customFormat="1" x14ac:dyDescent="0.3">
      <c r="A63" s="36"/>
      <c r="B63" s="50" t="s">
        <v>81</v>
      </c>
      <c r="C63" s="47" t="s">
        <v>35</v>
      </c>
      <c r="D63" s="39"/>
      <c r="E63" s="44"/>
      <c r="F63" s="40"/>
      <c r="G63" s="41">
        <f>SUM(G64:G67)</f>
        <v>8524124</v>
      </c>
      <c r="H63" s="45"/>
    </row>
    <row r="64" spans="1:771 1026:1795 2050:2819 3074:3843 4098:4867 5122:5891 6146:6915 7170:7939 8194:8963 9218:9987 10242:11011 11266:12035 12290:13059 13314:14083 14338:15107 15362:16131" s="35" customFormat="1" ht="93.6" x14ac:dyDescent="0.3">
      <c r="A64" s="36"/>
      <c r="B64" s="46"/>
      <c r="C64" s="48" t="s">
        <v>162</v>
      </c>
      <c r="D64" s="39" t="s">
        <v>13</v>
      </c>
      <c r="E64" s="44">
        <v>1.48</v>
      </c>
      <c r="F64" s="40">
        <f>3592000*40%</f>
        <v>1436800</v>
      </c>
      <c r="G64" s="40">
        <f>E64*F64</f>
        <v>2126464</v>
      </c>
      <c r="H64" s="42" t="s">
        <v>2376</v>
      </c>
    </row>
    <row r="65" spans="1:771 1026:1795 2050:2819 3074:3843 4098:4867 5122:5891 6146:6915 7170:7939 8194:8963 9218:9987 10242:11011 11266:12035 12290:13059 13314:14083 14338:15107 15362:16131" s="35" customFormat="1" ht="46.8" x14ac:dyDescent="0.3">
      <c r="A65" s="36"/>
      <c r="B65" s="46"/>
      <c r="C65" s="48" t="s">
        <v>83</v>
      </c>
      <c r="D65" s="39" t="s">
        <v>13</v>
      </c>
      <c r="E65" s="44">
        <f>(6.8*4.1)-10.87</f>
        <v>17.009999999999998</v>
      </c>
      <c r="F65" s="40">
        <f>540000*40%</f>
        <v>216000</v>
      </c>
      <c r="G65" s="40">
        <f>E65*F65</f>
        <v>3674159.9999999995</v>
      </c>
      <c r="H65" s="52" t="s">
        <v>2374</v>
      </c>
    </row>
    <row r="66" spans="1:771 1026:1795 2050:2819 3074:3843 4098:4867 5122:5891 6146:6915 7170:7939 8194:8963 9218:9987 10242:11011 11266:12035 12290:13059 13314:14083 14338:15107 15362:16131" s="35" customFormat="1" ht="18.600000000000001" x14ac:dyDescent="0.3">
      <c r="A66" s="36"/>
      <c r="B66" s="46"/>
      <c r="C66" s="48" t="s">
        <v>16</v>
      </c>
      <c r="D66" s="39" t="s">
        <v>13</v>
      </c>
      <c r="E66" s="44">
        <f>6.5*2.55</f>
        <v>16.574999999999999</v>
      </c>
      <c r="F66" s="40">
        <v>100000</v>
      </c>
      <c r="G66" s="40">
        <f>E66*F66</f>
        <v>1657500</v>
      </c>
      <c r="H66" s="52" t="s">
        <v>17</v>
      </c>
    </row>
    <row r="67" spans="1:771 1026:1795 2050:2819 3074:3843 4098:4867 5122:5891 6146:6915 7170:7939 8194:8963 9218:9987 10242:11011 11266:12035 12290:13059 13314:14083 14338:15107 15362:16131" s="35" customFormat="1" ht="18.600000000000001" x14ac:dyDescent="0.3">
      <c r="A67" s="36"/>
      <c r="B67" s="46"/>
      <c r="C67" s="48" t="s">
        <v>84</v>
      </c>
      <c r="D67" s="39" t="s">
        <v>13</v>
      </c>
      <c r="E67" s="44">
        <f>4.1*2.6</f>
        <v>10.66</v>
      </c>
      <c r="F67" s="40">
        <v>100000</v>
      </c>
      <c r="G67" s="40">
        <f>E67*F67</f>
        <v>1066000</v>
      </c>
      <c r="H67" s="52" t="s">
        <v>17</v>
      </c>
    </row>
    <row r="68" spans="1:771 1026:1795 2050:2819 3074:3843 4098:4867 5122:5891 6146:6915 7170:7939 8194:8963 9218:9987 10242:11011 11266:12035 12290:13059 13314:14083 14338:15107 15362:16131" s="35" customFormat="1" ht="65.400000000000006" thickBot="1" x14ac:dyDescent="0.35">
      <c r="A68" s="53"/>
      <c r="B68" s="54"/>
      <c r="C68" s="55" t="s">
        <v>2331</v>
      </c>
      <c r="D68" s="56"/>
      <c r="E68" s="5"/>
      <c r="F68" s="6"/>
      <c r="G68" s="57"/>
      <c r="H68" s="58"/>
    </row>
    <row r="69" spans="1:771 1026:1795 2050:2819 3074:3843 4098:4867 5122:5891 6146:6915 7170:7939 8194:8963 9218:9987 10242:11011 11266:12035 12290:13059 13314:14083 14338:15107 15362:16131" s="59" customFormat="1" ht="31.8" thickBot="1" x14ac:dyDescent="0.35">
      <c r="A69" s="154"/>
      <c r="B69" s="155" t="s">
        <v>26</v>
      </c>
      <c r="C69" s="156"/>
      <c r="D69" s="154"/>
      <c r="E69" s="157"/>
      <c r="F69" s="158"/>
      <c r="G69" s="159">
        <f>SUM(G59:G68)/2</f>
        <v>294865424</v>
      </c>
      <c r="H69" s="160"/>
      <c r="IX69" s="35"/>
      <c r="IY69" s="35"/>
      <c r="ST69" s="35"/>
      <c r="SU69" s="35"/>
      <c r="ACP69" s="35"/>
      <c r="ACQ69" s="35"/>
      <c r="AML69" s="35"/>
      <c r="AMM69" s="35"/>
      <c r="AWH69" s="35"/>
      <c r="AWI69" s="35"/>
      <c r="BGD69" s="35"/>
      <c r="BGE69" s="35"/>
      <c r="BPZ69" s="35"/>
      <c r="BQA69" s="35"/>
      <c r="BZV69" s="35"/>
      <c r="BZW69" s="35"/>
      <c r="CJR69" s="35"/>
      <c r="CJS69" s="35"/>
      <c r="CTN69" s="35"/>
      <c r="CTO69" s="35"/>
      <c r="DDJ69" s="35"/>
      <c r="DDK69" s="35"/>
      <c r="DNF69" s="35"/>
      <c r="DNG69" s="35"/>
      <c r="DXB69" s="35"/>
      <c r="DXC69" s="35"/>
      <c r="EGX69" s="35"/>
      <c r="EGY69" s="35"/>
      <c r="EQT69" s="35"/>
      <c r="EQU69" s="35"/>
      <c r="FAP69" s="35"/>
      <c r="FAQ69" s="35"/>
      <c r="FKL69" s="35"/>
      <c r="FKM69" s="35"/>
      <c r="FUH69" s="35"/>
      <c r="FUI69" s="35"/>
      <c r="GED69" s="35"/>
      <c r="GEE69" s="35"/>
      <c r="GNZ69" s="35"/>
      <c r="GOA69" s="35"/>
      <c r="GXV69" s="35"/>
      <c r="GXW69" s="35"/>
      <c r="HHR69" s="35"/>
      <c r="HHS69" s="35"/>
      <c r="HRN69" s="35"/>
      <c r="HRO69" s="35"/>
      <c r="IBJ69" s="35"/>
      <c r="IBK69" s="35"/>
      <c r="ILF69" s="35"/>
      <c r="ILG69" s="35"/>
      <c r="IVB69" s="35"/>
      <c r="IVC69" s="35"/>
      <c r="JEX69" s="35"/>
      <c r="JEY69" s="35"/>
      <c r="JOT69" s="35"/>
      <c r="JOU69" s="35"/>
      <c r="JYP69" s="35"/>
      <c r="JYQ69" s="35"/>
      <c r="KIL69" s="35"/>
      <c r="KIM69" s="35"/>
      <c r="KSH69" s="35"/>
      <c r="KSI69" s="35"/>
      <c r="LCD69" s="35"/>
      <c r="LCE69" s="35"/>
      <c r="LLZ69" s="35"/>
      <c r="LMA69" s="35"/>
      <c r="LVV69" s="35"/>
      <c r="LVW69" s="35"/>
      <c r="MFR69" s="35"/>
      <c r="MFS69" s="35"/>
      <c r="MPN69" s="35"/>
      <c r="MPO69" s="35"/>
      <c r="MZJ69" s="35"/>
      <c r="MZK69" s="35"/>
      <c r="NJF69" s="35"/>
      <c r="NJG69" s="35"/>
      <c r="NTB69" s="35"/>
      <c r="NTC69" s="35"/>
      <c r="OCX69" s="35"/>
      <c r="OCY69" s="35"/>
      <c r="OMT69" s="35"/>
      <c r="OMU69" s="35"/>
      <c r="OWP69" s="35"/>
      <c r="OWQ69" s="35"/>
      <c r="PGL69" s="35"/>
      <c r="PGM69" s="35"/>
      <c r="PQH69" s="35"/>
      <c r="PQI69" s="35"/>
      <c r="QAD69" s="35"/>
      <c r="QAE69" s="35"/>
      <c r="QJZ69" s="35"/>
      <c r="QKA69" s="35"/>
      <c r="QTV69" s="35"/>
      <c r="QTW69" s="35"/>
      <c r="RDR69" s="35"/>
      <c r="RDS69" s="35"/>
      <c r="RNN69" s="35"/>
      <c r="RNO69" s="35"/>
      <c r="RXJ69" s="35"/>
      <c r="RXK69" s="35"/>
      <c r="SHF69" s="35"/>
      <c r="SHG69" s="35"/>
      <c r="SRB69" s="35"/>
      <c r="SRC69" s="35"/>
      <c r="TAX69" s="35"/>
      <c r="TAY69" s="35"/>
      <c r="TKT69" s="35"/>
      <c r="TKU69" s="35"/>
      <c r="TUP69" s="35"/>
      <c r="TUQ69" s="35"/>
      <c r="UEL69" s="35"/>
      <c r="UEM69" s="35"/>
      <c r="UOH69" s="35"/>
      <c r="UOI69" s="35"/>
      <c r="UYD69" s="35"/>
      <c r="UYE69" s="35"/>
      <c r="VHZ69" s="35"/>
      <c r="VIA69" s="35"/>
      <c r="VRV69" s="35"/>
      <c r="VRW69" s="35"/>
      <c r="WBR69" s="35"/>
      <c r="WBS69" s="35"/>
      <c r="WLN69" s="35"/>
      <c r="WLO69" s="35"/>
      <c r="WVJ69" s="35"/>
      <c r="WVK69" s="35"/>
    </row>
    <row r="70" spans="1:771 1026:1795 2050:2819 3074:3843 4098:4867 5122:5891 6146:6915 7170:7939 8194:8963 9218:9987 10242:11011 11266:12035 12290:13059 13314:14083 14338:15107 15362:16131" s="35" customFormat="1" ht="41.4" x14ac:dyDescent="0.3">
      <c r="A70" s="28">
        <v>6</v>
      </c>
      <c r="B70" s="29" t="s">
        <v>86</v>
      </c>
      <c r="C70" s="30" t="s">
        <v>2340</v>
      </c>
      <c r="D70" s="31" t="s">
        <v>13</v>
      </c>
      <c r="E70" s="32">
        <v>12.7</v>
      </c>
      <c r="F70" s="33"/>
      <c r="G70" s="33"/>
      <c r="H70" s="34" t="s">
        <v>64</v>
      </c>
    </row>
    <row r="71" spans="1:771 1026:1795 2050:2819 3074:3843 4098:4867 5122:5891 6146:6915 7170:7939 8194:8963 9218:9987 10242:11011 11266:12035 12290:13059 13314:14083 14338:15107 15362:16131" s="35" customFormat="1" ht="31.2" x14ac:dyDescent="0.3">
      <c r="A71" s="36"/>
      <c r="B71" s="37" t="s">
        <v>2341</v>
      </c>
      <c r="C71" s="38" t="s">
        <v>14</v>
      </c>
      <c r="D71" s="39"/>
      <c r="E71" s="44"/>
      <c r="F71" s="40"/>
      <c r="G71" s="41">
        <f>SUM(G72)</f>
        <v>132130800</v>
      </c>
      <c r="H71" s="42"/>
    </row>
    <row r="72" spans="1:771 1026:1795 2050:2819 3074:3843 4098:4867 5122:5891 6146:6915 7170:7939 8194:8963 9218:9987 10242:11011 11266:12035 12290:13059 13314:14083 14338:15107 15362:16131" s="35" customFormat="1" ht="78" x14ac:dyDescent="0.3">
      <c r="A72" s="36"/>
      <c r="B72" s="46" t="s">
        <v>89</v>
      </c>
      <c r="C72" s="43" t="s">
        <v>55</v>
      </c>
      <c r="D72" s="39" t="s">
        <v>13</v>
      </c>
      <c r="E72" s="44">
        <v>12.7</v>
      </c>
      <c r="F72" s="153">
        <v>10404000</v>
      </c>
      <c r="G72" s="40">
        <f>E72*F72</f>
        <v>132130800</v>
      </c>
      <c r="H72" s="42"/>
    </row>
    <row r="73" spans="1:771 1026:1795 2050:2819 3074:3843 4098:4867 5122:5891 6146:6915 7170:7939 8194:8963 9218:9987 10242:11011 11266:12035 12290:13059 13314:14083 14338:15107 15362:16131" s="35" customFormat="1" x14ac:dyDescent="0.3">
      <c r="A73" s="36"/>
      <c r="B73" s="50" t="s">
        <v>90</v>
      </c>
      <c r="C73" s="47" t="s">
        <v>35</v>
      </c>
      <c r="D73" s="39"/>
      <c r="E73" s="44"/>
      <c r="F73" s="40"/>
      <c r="G73" s="41">
        <f>SUM(G74:G79)</f>
        <v>0</v>
      </c>
      <c r="H73" s="45"/>
    </row>
    <row r="74" spans="1:771 1026:1795 2050:2819 3074:3843 4098:4867 5122:5891 6146:6915 7170:7939 8194:8963 9218:9987 10242:11011 11266:12035 12290:13059 13314:14083 14338:15107 15362:16131" s="35" customFormat="1" ht="78" x14ac:dyDescent="0.3">
      <c r="A74" s="36"/>
      <c r="B74" s="46"/>
      <c r="C74" s="48" t="s">
        <v>91</v>
      </c>
      <c r="D74" s="39"/>
      <c r="E74" s="44"/>
      <c r="F74" s="40"/>
      <c r="G74" s="40">
        <f t="shared" ref="G74:G79" si="0">E74*F74</f>
        <v>0</v>
      </c>
      <c r="H74" s="52"/>
    </row>
    <row r="75" spans="1:771 1026:1795 2050:2819 3074:3843 4098:4867 5122:5891 6146:6915 7170:7939 8194:8963 9218:9987 10242:11011 11266:12035 12290:13059 13314:14083 14338:15107 15362:16131" s="35" customFormat="1" x14ac:dyDescent="0.3">
      <c r="A75" s="36"/>
      <c r="B75" s="46"/>
      <c r="C75" s="48" t="s">
        <v>15</v>
      </c>
      <c r="D75" s="39"/>
      <c r="E75" s="44"/>
      <c r="F75" s="40"/>
      <c r="G75" s="40">
        <f t="shared" si="0"/>
        <v>0</v>
      </c>
      <c r="H75" s="52"/>
    </row>
    <row r="76" spans="1:771 1026:1795 2050:2819 3074:3843 4098:4867 5122:5891 6146:6915 7170:7939 8194:8963 9218:9987 10242:11011 11266:12035 12290:13059 13314:14083 14338:15107 15362:16131" s="35" customFormat="1" ht="31.2" x14ac:dyDescent="0.3">
      <c r="A76" s="36"/>
      <c r="B76" s="46"/>
      <c r="C76" s="48" t="s">
        <v>163</v>
      </c>
      <c r="D76" s="39" t="s">
        <v>13</v>
      </c>
      <c r="E76" s="44">
        <f>4.48</f>
        <v>4.4800000000000004</v>
      </c>
      <c r="F76" s="40"/>
      <c r="G76" s="40">
        <f t="shared" si="0"/>
        <v>0</v>
      </c>
      <c r="H76" s="52"/>
    </row>
    <row r="77" spans="1:771 1026:1795 2050:2819 3074:3843 4098:4867 5122:5891 6146:6915 7170:7939 8194:8963 9218:9987 10242:11011 11266:12035 12290:13059 13314:14083 14338:15107 15362:16131" s="35" customFormat="1" ht="31.2" x14ac:dyDescent="0.3">
      <c r="A77" s="36"/>
      <c r="B77" s="46"/>
      <c r="C77" s="48" t="s">
        <v>95</v>
      </c>
      <c r="D77" s="39" t="s">
        <v>13</v>
      </c>
      <c r="E77" s="44">
        <f>(1.2+2.2)*6*0.5</f>
        <v>10.200000000000001</v>
      </c>
      <c r="F77" s="40"/>
      <c r="G77" s="40">
        <f t="shared" si="0"/>
        <v>0</v>
      </c>
      <c r="H77" s="52"/>
    </row>
    <row r="78" spans="1:771 1026:1795 2050:2819 3074:3843 4098:4867 5122:5891 6146:6915 7170:7939 8194:8963 9218:9987 10242:11011 11266:12035 12290:13059 13314:14083 14338:15107 15362:16131" s="35" customFormat="1" ht="18.600000000000001" x14ac:dyDescent="0.3">
      <c r="A78" s="36"/>
      <c r="B78" s="46"/>
      <c r="C78" s="48" t="s">
        <v>93</v>
      </c>
      <c r="D78" s="39" t="s">
        <v>13</v>
      </c>
      <c r="E78" s="44">
        <f>(2.2+3.8)*6*0.5</f>
        <v>18</v>
      </c>
      <c r="F78" s="40"/>
      <c r="G78" s="40">
        <f t="shared" si="0"/>
        <v>0</v>
      </c>
      <c r="H78" s="52"/>
    </row>
    <row r="79" spans="1:771 1026:1795 2050:2819 3074:3843 4098:4867 5122:5891 6146:6915 7170:7939 8194:8963 9218:9987 10242:11011 11266:12035 12290:13059 13314:14083 14338:15107 15362:16131" s="35" customFormat="1" ht="58.2" x14ac:dyDescent="0.3">
      <c r="A79" s="36"/>
      <c r="B79" s="46"/>
      <c r="C79" s="48" t="s">
        <v>94</v>
      </c>
      <c r="D79" s="39" t="s">
        <v>13</v>
      </c>
      <c r="E79" s="44">
        <f>1*6</f>
        <v>6</v>
      </c>
      <c r="F79" s="40"/>
      <c r="G79" s="40">
        <f t="shared" si="0"/>
        <v>0</v>
      </c>
      <c r="H79" s="42" t="s">
        <v>96</v>
      </c>
    </row>
    <row r="80" spans="1:771 1026:1795 2050:2819 3074:3843 4098:4867 5122:5891 6146:6915 7170:7939 8194:8963 9218:9987 10242:11011 11266:12035 12290:13059 13314:14083 14338:15107 15362:16131" s="35" customFormat="1" x14ac:dyDescent="0.3">
      <c r="A80" s="36"/>
      <c r="B80" s="46"/>
      <c r="C80" s="51" t="s">
        <v>23</v>
      </c>
      <c r="D80" s="39"/>
      <c r="E80" s="1"/>
      <c r="F80" s="2"/>
      <c r="G80" s="41">
        <f>SUM(G81)</f>
        <v>3060000</v>
      </c>
      <c r="H80" s="52"/>
    </row>
    <row r="81" spans="1:771 1026:1795 2050:2819 3074:3843 4098:4867 5122:5891 6146:6915 7170:7939 8194:8963 9218:9987 10242:11011 11266:12035 12290:13059 13314:14083 14338:15107 15362:16131" s="35" customFormat="1" x14ac:dyDescent="0.3">
      <c r="A81" s="36"/>
      <c r="B81" s="46"/>
      <c r="C81" s="50" t="s">
        <v>24</v>
      </c>
      <c r="D81" s="39" t="s">
        <v>25</v>
      </c>
      <c r="E81" s="1">
        <f>1*30*6</f>
        <v>180</v>
      </c>
      <c r="F81" s="2">
        <v>17000</v>
      </c>
      <c r="G81" s="40">
        <f>E81*F81</f>
        <v>3060000</v>
      </c>
      <c r="H81" s="42"/>
    </row>
    <row r="82" spans="1:771 1026:1795 2050:2819 3074:3843 4098:4867 5122:5891 6146:6915 7170:7939 8194:8963 9218:9987 10242:11011 11266:12035 12290:13059 13314:14083 14338:15107 15362:16131" s="35" customFormat="1" ht="65.400000000000006" thickBot="1" x14ac:dyDescent="0.35">
      <c r="A82" s="53"/>
      <c r="B82" s="54"/>
      <c r="C82" s="55" t="s">
        <v>2331</v>
      </c>
      <c r="D82" s="56"/>
      <c r="E82" s="5"/>
      <c r="F82" s="6"/>
      <c r="G82" s="57"/>
      <c r="H82" s="58"/>
    </row>
    <row r="83" spans="1:771 1026:1795 2050:2819 3074:3843 4098:4867 5122:5891 6146:6915 7170:7939 8194:8963 9218:9987 10242:11011 11266:12035 12290:13059 13314:14083 14338:15107 15362:16131" s="59" customFormat="1" ht="31.8" thickBot="1" x14ac:dyDescent="0.35">
      <c r="A83" s="154"/>
      <c r="B83" s="155" t="s">
        <v>26</v>
      </c>
      <c r="C83" s="156"/>
      <c r="D83" s="154"/>
      <c r="E83" s="157"/>
      <c r="F83" s="158"/>
      <c r="G83" s="159">
        <f>SUM(G70:G82)/2</f>
        <v>135190800</v>
      </c>
      <c r="H83" s="160"/>
      <c r="IX83" s="35"/>
      <c r="IY83" s="35"/>
      <c r="ST83" s="35"/>
      <c r="SU83" s="35"/>
      <c r="ACP83" s="35"/>
      <c r="ACQ83" s="35"/>
      <c r="AML83" s="35"/>
      <c r="AMM83" s="35"/>
      <c r="AWH83" s="35"/>
      <c r="AWI83" s="35"/>
      <c r="BGD83" s="35"/>
      <c r="BGE83" s="35"/>
      <c r="BPZ83" s="35"/>
      <c r="BQA83" s="35"/>
      <c r="BZV83" s="35"/>
      <c r="BZW83" s="35"/>
      <c r="CJR83" s="35"/>
      <c r="CJS83" s="35"/>
      <c r="CTN83" s="35"/>
      <c r="CTO83" s="35"/>
      <c r="DDJ83" s="35"/>
      <c r="DDK83" s="35"/>
      <c r="DNF83" s="35"/>
      <c r="DNG83" s="35"/>
      <c r="DXB83" s="35"/>
      <c r="DXC83" s="35"/>
      <c r="EGX83" s="35"/>
      <c r="EGY83" s="35"/>
      <c r="EQT83" s="35"/>
      <c r="EQU83" s="35"/>
      <c r="FAP83" s="35"/>
      <c r="FAQ83" s="35"/>
      <c r="FKL83" s="35"/>
      <c r="FKM83" s="35"/>
      <c r="FUH83" s="35"/>
      <c r="FUI83" s="35"/>
      <c r="GED83" s="35"/>
      <c r="GEE83" s="35"/>
      <c r="GNZ83" s="35"/>
      <c r="GOA83" s="35"/>
      <c r="GXV83" s="35"/>
      <c r="GXW83" s="35"/>
      <c r="HHR83" s="35"/>
      <c r="HHS83" s="35"/>
      <c r="HRN83" s="35"/>
      <c r="HRO83" s="35"/>
      <c r="IBJ83" s="35"/>
      <c r="IBK83" s="35"/>
      <c r="ILF83" s="35"/>
      <c r="ILG83" s="35"/>
      <c r="IVB83" s="35"/>
      <c r="IVC83" s="35"/>
      <c r="JEX83" s="35"/>
      <c r="JEY83" s="35"/>
      <c r="JOT83" s="35"/>
      <c r="JOU83" s="35"/>
      <c r="JYP83" s="35"/>
      <c r="JYQ83" s="35"/>
      <c r="KIL83" s="35"/>
      <c r="KIM83" s="35"/>
      <c r="KSH83" s="35"/>
      <c r="KSI83" s="35"/>
      <c r="LCD83" s="35"/>
      <c r="LCE83" s="35"/>
      <c r="LLZ83" s="35"/>
      <c r="LMA83" s="35"/>
      <c r="LVV83" s="35"/>
      <c r="LVW83" s="35"/>
      <c r="MFR83" s="35"/>
      <c r="MFS83" s="35"/>
      <c r="MPN83" s="35"/>
      <c r="MPO83" s="35"/>
      <c r="MZJ83" s="35"/>
      <c r="MZK83" s="35"/>
      <c r="NJF83" s="35"/>
      <c r="NJG83" s="35"/>
      <c r="NTB83" s="35"/>
      <c r="NTC83" s="35"/>
      <c r="OCX83" s="35"/>
      <c r="OCY83" s="35"/>
      <c r="OMT83" s="35"/>
      <c r="OMU83" s="35"/>
      <c r="OWP83" s="35"/>
      <c r="OWQ83" s="35"/>
      <c r="PGL83" s="35"/>
      <c r="PGM83" s="35"/>
      <c r="PQH83" s="35"/>
      <c r="PQI83" s="35"/>
      <c r="QAD83" s="35"/>
      <c r="QAE83" s="35"/>
      <c r="QJZ83" s="35"/>
      <c r="QKA83" s="35"/>
      <c r="QTV83" s="35"/>
      <c r="QTW83" s="35"/>
      <c r="RDR83" s="35"/>
      <c r="RDS83" s="35"/>
      <c r="RNN83" s="35"/>
      <c r="RNO83" s="35"/>
      <c r="RXJ83" s="35"/>
      <c r="RXK83" s="35"/>
      <c r="SHF83" s="35"/>
      <c r="SHG83" s="35"/>
      <c r="SRB83" s="35"/>
      <c r="SRC83" s="35"/>
      <c r="TAX83" s="35"/>
      <c r="TAY83" s="35"/>
      <c r="TKT83" s="35"/>
      <c r="TKU83" s="35"/>
      <c r="TUP83" s="35"/>
      <c r="TUQ83" s="35"/>
      <c r="UEL83" s="35"/>
      <c r="UEM83" s="35"/>
      <c r="UOH83" s="35"/>
      <c r="UOI83" s="35"/>
      <c r="UYD83" s="35"/>
      <c r="UYE83" s="35"/>
      <c r="VHZ83" s="35"/>
      <c r="VIA83" s="35"/>
      <c r="VRV83" s="35"/>
      <c r="VRW83" s="35"/>
      <c r="WBR83" s="35"/>
      <c r="WBS83" s="35"/>
      <c r="WLN83" s="35"/>
      <c r="WLO83" s="35"/>
      <c r="WVJ83" s="35"/>
      <c r="WVK83" s="35"/>
    </row>
    <row r="84" spans="1:771 1026:1795 2050:2819 3074:3843 4098:4867 5122:5891 6146:6915 7170:7939 8194:8963 9218:9987 10242:11011 11266:12035 12290:13059 13314:14083 14338:15107 15362:16131" s="35" customFormat="1" ht="55.2" x14ac:dyDescent="0.3">
      <c r="A84" s="28">
        <v>7</v>
      </c>
      <c r="B84" s="29" t="s">
        <v>139</v>
      </c>
      <c r="C84" s="30" t="s">
        <v>97</v>
      </c>
      <c r="D84" s="31" t="s">
        <v>13</v>
      </c>
      <c r="E84" s="32">
        <v>11.1</v>
      </c>
      <c r="F84" s="33"/>
      <c r="G84" s="33">
        <f>E84*F84</f>
        <v>0</v>
      </c>
      <c r="H84" s="34" t="s">
        <v>140</v>
      </c>
    </row>
    <row r="85" spans="1:771 1026:1795 2050:2819 3074:3843 4098:4867 5122:5891 6146:6915 7170:7939 8194:8963 9218:9987 10242:11011 11266:12035 12290:13059 13314:14083 14338:15107 15362:16131" s="35" customFormat="1" ht="41.4" x14ac:dyDescent="0.3">
      <c r="A85" s="36"/>
      <c r="B85" s="37" t="s">
        <v>98</v>
      </c>
      <c r="C85" s="38" t="s">
        <v>14</v>
      </c>
      <c r="D85" s="162"/>
      <c r="E85" s="44"/>
      <c r="F85" s="40"/>
      <c r="G85" s="41">
        <f>SUM(G86)</f>
        <v>115484400</v>
      </c>
      <c r="H85" s="42" t="s">
        <v>107</v>
      </c>
    </row>
    <row r="86" spans="1:771 1026:1795 2050:2819 3074:3843 4098:4867 5122:5891 6146:6915 7170:7939 8194:8963 9218:9987 10242:11011 11266:12035 12290:13059 13314:14083 14338:15107 15362:16131" s="35" customFormat="1" ht="31.2" x14ac:dyDescent="0.3">
      <c r="A86" s="36"/>
      <c r="B86" s="37" t="s">
        <v>99</v>
      </c>
      <c r="C86" s="43" t="s">
        <v>55</v>
      </c>
      <c r="D86" s="39" t="s">
        <v>13</v>
      </c>
      <c r="E86" s="44">
        <v>11.1</v>
      </c>
      <c r="F86" s="153">
        <v>10404000</v>
      </c>
      <c r="G86" s="40">
        <f>E86*F86</f>
        <v>115484400</v>
      </c>
      <c r="H86" s="42"/>
    </row>
    <row r="87" spans="1:771 1026:1795 2050:2819 3074:3843 4098:4867 5122:5891 6146:6915 7170:7939 8194:8963 9218:9987 10242:11011 11266:12035 12290:13059 13314:14083 14338:15107 15362:16131" s="35" customFormat="1" ht="78" x14ac:dyDescent="0.3">
      <c r="A87" s="36"/>
      <c r="B87" s="46" t="s">
        <v>100</v>
      </c>
      <c r="C87" s="47" t="s">
        <v>35</v>
      </c>
      <c r="D87" s="39"/>
      <c r="E87" s="44"/>
      <c r="F87" s="40"/>
      <c r="G87" s="41">
        <f>SUM(G88:G90)</f>
        <v>3297800.0000000005</v>
      </c>
      <c r="H87" s="45"/>
    </row>
    <row r="88" spans="1:771 1026:1795 2050:2819 3074:3843 4098:4867 5122:5891 6146:6915 7170:7939 8194:8963 9218:9987 10242:11011 11266:12035 12290:13059 13314:14083 14338:15107 15362:16131" s="35" customFormat="1" ht="46.8" x14ac:dyDescent="0.3">
      <c r="A88" s="36"/>
      <c r="B88" s="50" t="s">
        <v>101</v>
      </c>
      <c r="C88" s="48" t="s">
        <v>102</v>
      </c>
      <c r="D88" s="39" t="s">
        <v>13</v>
      </c>
      <c r="E88" s="44">
        <v>22</v>
      </c>
      <c r="F88" s="40"/>
      <c r="G88" s="40">
        <f>E88*F88</f>
        <v>0</v>
      </c>
      <c r="H88" s="42" t="s">
        <v>2377</v>
      </c>
    </row>
    <row r="89" spans="1:771 1026:1795 2050:2819 3074:3843 4098:4867 5122:5891 6146:6915 7170:7939 8194:8963 9218:9987 10242:11011 11266:12035 12290:13059 13314:14083 14338:15107 15362:16131" s="35" customFormat="1" ht="18.600000000000001" x14ac:dyDescent="0.3">
      <c r="A89" s="36"/>
      <c r="B89" s="46"/>
      <c r="C89" s="48" t="s">
        <v>103</v>
      </c>
      <c r="D89" s="39" t="s">
        <v>104</v>
      </c>
      <c r="E89" s="44">
        <f>22*0.1</f>
        <v>2.2000000000000002</v>
      </c>
      <c r="F89" s="40">
        <v>1499000</v>
      </c>
      <c r="G89" s="40">
        <f>E89*F89</f>
        <v>3297800.0000000005</v>
      </c>
      <c r="H89" s="52"/>
    </row>
    <row r="90" spans="1:771 1026:1795 2050:2819 3074:3843 4098:4867 5122:5891 6146:6915 7170:7939 8194:8963 9218:9987 10242:11011 11266:12035 12290:13059 13314:14083 14338:15107 15362:16131" s="35" customFormat="1" x14ac:dyDescent="0.3">
      <c r="A90" s="36"/>
      <c r="B90" s="46"/>
      <c r="C90" s="48" t="s">
        <v>105</v>
      </c>
      <c r="D90" s="39" t="s">
        <v>106</v>
      </c>
      <c r="E90" s="44">
        <v>1</v>
      </c>
      <c r="F90" s="40"/>
      <c r="G90" s="40">
        <f>E90*F90</f>
        <v>0</v>
      </c>
      <c r="H90" s="52" t="s">
        <v>2353</v>
      </c>
    </row>
    <row r="91" spans="1:771 1026:1795 2050:2819 3074:3843 4098:4867 5122:5891 6146:6915 7170:7939 8194:8963 9218:9987 10242:11011 11266:12035 12290:13059 13314:14083 14338:15107 15362:16131" s="35" customFormat="1" x14ac:dyDescent="0.3">
      <c r="A91" s="36"/>
      <c r="B91" s="46"/>
      <c r="C91" s="51" t="s">
        <v>23</v>
      </c>
      <c r="D91" s="39"/>
      <c r="E91" s="1"/>
      <c r="F91" s="2"/>
      <c r="G91" s="41">
        <f>SUM(G92)</f>
        <v>3060000</v>
      </c>
      <c r="H91" s="52"/>
    </row>
    <row r="92" spans="1:771 1026:1795 2050:2819 3074:3843 4098:4867 5122:5891 6146:6915 7170:7939 8194:8963 9218:9987 10242:11011 11266:12035 12290:13059 13314:14083 14338:15107 15362:16131" s="35" customFormat="1" x14ac:dyDescent="0.3">
      <c r="A92" s="36"/>
      <c r="B92" s="46"/>
      <c r="C92" s="50" t="s">
        <v>24</v>
      </c>
      <c r="D92" s="39" t="s">
        <v>25</v>
      </c>
      <c r="E92" s="1">
        <f>1*30*6</f>
        <v>180</v>
      </c>
      <c r="F92" s="2">
        <v>17000</v>
      </c>
      <c r="G92" s="40">
        <f>E92*F92</f>
        <v>3060000</v>
      </c>
      <c r="H92" s="42"/>
    </row>
    <row r="93" spans="1:771 1026:1795 2050:2819 3074:3843 4098:4867 5122:5891 6146:6915 7170:7939 8194:8963 9218:9987 10242:11011 11266:12035 12290:13059 13314:14083 14338:15107 15362:16131" s="35" customFormat="1" ht="65.400000000000006" thickBot="1" x14ac:dyDescent="0.35">
      <c r="A93" s="53"/>
      <c r="B93" s="54"/>
      <c r="C93" s="55" t="s">
        <v>2331</v>
      </c>
      <c r="D93" s="56"/>
      <c r="E93" s="5"/>
      <c r="F93" s="6"/>
      <c r="G93" s="57"/>
      <c r="H93" s="58"/>
    </row>
    <row r="94" spans="1:771 1026:1795 2050:2819 3074:3843 4098:4867 5122:5891 6146:6915 7170:7939 8194:8963 9218:9987 10242:11011 11266:12035 12290:13059 13314:14083 14338:15107 15362:16131" s="59" customFormat="1" ht="31.8" thickBot="1" x14ac:dyDescent="0.35">
      <c r="A94" s="154"/>
      <c r="B94" s="155" t="s">
        <v>26</v>
      </c>
      <c r="C94" s="156"/>
      <c r="D94" s="154"/>
      <c r="E94" s="157"/>
      <c r="F94" s="158"/>
      <c r="G94" s="159">
        <f>SUM(G84:G93)/2</f>
        <v>121842200</v>
      </c>
      <c r="H94" s="160"/>
      <c r="IX94" s="35"/>
      <c r="IY94" s="35"/>
      <c r="ST94" s="35"/>
      <c r="SU94" s="35"/>
      <c r="ACP94" s="35"/>
      <c r="ACQ94" s="35"/>
      <c r="AML94" s="35"/>
      <c r="AMM94" s="35"/>
      <c r="AWH94" s="35"/>
      <c r="AWI94" s="35"/>
      <c r="BGD94" s="35"/>
      <c r="BGE94" s="35"/>
      <c r="BPZ94" s="35"/>
      <c r="BQA94" s="35"/>
      <c r="BZV94" s="35"/>
      <c r="BZW94" s="35"/>
      <c r="CJR94" s="35"/>
      <c r="CJS94" s="35"/>
      <c r="CTN94" s="35"/>
      <c r="CTO94" s="35"/>
      <c r="DDJ94" s="35"/>
      <c r="DDK94" s="35"/>
      <c r="DNF94" s="35"/>
      <c r="DNG94" s="35"/>
      <c r="DXB94" s="35"/>
      <c r="DXC94" s="35"/>
      <c r="EGX94" s="35"/>
      <c r="EGY94" s="35"/>
      <c r="EQT94" s="35"/>
      <c r="EQU94" s="35"/>
      <c r="FAP94" s="35"/>
      <c r="FAQ94" s="35"/>
      <c r="FKL94" s="35"/>
      <c r="FKM94" s="35"/>
      <c r="FUH94" s="35"/>
      <c r="FUI94" s="35"/>
      <c r="GED94" s="35"/>
      <c r="GEE94" s="35"/>
      <c r="GNZ94" s="35"/>
      <c r="GOA94" s="35"/>
      <c r="GXV94" s="35"/>
      <c r="GXW94" s="35"/>
      <c r="HHR94" s="35"/>
      <c r="HHS94" s="35"/>
      <c r="HRN94" s="35"/>
      <c r="HRO94" s="35"/>
      <c r="IBJ94" s="35"/>
      <c r="IBK94" s="35"/>
      <c r="ILF94" s="35"/>
      <c r="ILG94" s="35"/>
      <c r="IVB94" s="35"/>
      <c r="IVC94" s="35"/>
      <c r="JEX94" s="35"/>
      <c r="JEY94" s="35"/>
      <c r="JOT94" s="35"/>
      <c r="JOU94" s="35"/>
      <c r="JYP94" s="35"/>
      <c r="JYQ94" s="35"/>
      <c r="KIL94" s="35"/>
      <c r="KIM94" s="35"/>
      <c r="KSH94" s="35"/>
      <c r="KSI94" s="35"/>
      <c r="LCD94" s="35"/>
      <c r="LCE94" s="35"/>
      <c r="LLZ94" s="35"/>
      <c r="LMA94" s="35"/>
      <c r="LVV94" s="35"/>
      <c r="LVW94" s="35"/>
      <c r="MFR94" s="35"/>
      <c r="MFS94" s="35"/>
      <c r="MPN94" s="35"/>
      <c r="MPO94" s="35"/>
      <c r="MZJ94" s="35"/>
      <c r="MZK94" s="35"/>
      <c r="NJF94" s="35"/>
      <c r="NJG94" s="35"/>
      <c r="NTB94" s="35"/>
      <c r="NTC94" s="35"/>
      <c r="OCX94" s="35"/>
      <c r="OCY94" s="35"/>
      <c r="OMT94" s="35"/>
      <c r="OMU94" s="35"/>
      <c r="OWP94" s="35"/>
      <c r="OWQ94" s="35"/>
      <c r="PGL94" s="35"/>
      <c r="PGM94" s="35"/>
      <c r="PQH94" s="35"/>
      <c r="PQI94" s="35"/>
      <c r="QAD94" s="35"/>
      <c r="QAE94" s="35"/>
      <c r="QJZ94" s="35"/>
      <c r="QKA94" s="35"/>
      <c r="QTV94" s="35"/>
      <c r="QTW94" s="35"/>
      <c r="RDR94" s="35"/>
      <c r="RDS94" s="35"/>
      <c r="RNN94" s="35"/>
      <c r="RNO94" s="35"/>
      <c r="RXJ94" s="35"/>
      <c r="RXK94" s="35"/>
      <c r="SHF94" s="35"/>
      <c r="SHG94" s="35"/>
      <c r="SRB94" s="35"/>
      <c r="SRC94" s="35"/>
      <c r="TAX94" s="35"/>
      <c r="TAY94" s="35"/>
      <c r="TKT94" s="35"/>
      <c r="TKU94" s="35"/>
      <c r="TUP94" s="35"/>
      <c r="TUQ94" s="35"/>
      <c r="UEL94" s="35"/>
      <c r="UEM94" s="35"/>
      <c r="UOH94" s="35"/>
      <c r="UOI94" s="35"/>
      <c r="UYD94" s="35"/>
      <c r="UYE94" s="35"/>
      <c r="VHZ94" s="35"/>
      <c r="VIA94" s="35"/>
      <c r="VRV94" s="35"/>
      <c r="VRW94" s="35"/>
      <c r="WBR94" s="35"/>
      <c r="WBS94" s="35"/>
      <c r="WLN94" s="35"/>
      <c r="WLO94" s="35"/>
      <c r="WVJ94" s="35"/>
      <c r="WVK94" s="35"/>
    </row>
    <row r="95" spans="1:771 1026:1795 2050:2819 3074:3843 4098:4867 5122:5891 6146:6915 7170:7939 8194:8963 9218:9987 10242:11011 11266:12035 12290:13059 13314:14083 14338:15107 15362:16131" s="35" customFormat="1" ht="55.2" x14ac:dyDescent="0.3">
      <c r="A95" s="28">
        <v>8</v>
      </c>
      <c r="B95" s="60" t="s">
        <v>108</v>
      </c>
      <c r="C95" s="30" t="s">
        <v>2157</v>
      </c>
      <c r="D95" s="31" t="s">
        <v>13</v>
      </c>
      <c r="E95" s="32">
        <v>14.3</v>
      </c>
      <c r="F95" s="33"/>
      <c r="G95" s="33">
        <f>E95*F95</f>
        <v>0</v>
      </c>
      <c r="H95" s="34" t="s">
        <v>113</v>
      </c>
    </row>
    <row r="96" spans="1:771 1026:1795 2050:2819 3074:3843 4098:4867 5122:5891 6146:6915 7170:7939 8194:8963 9218:9987 10242:11011 11266:12035 12290:13059 13314:14083 14338:15107 15362:16131" s="35" customFormat="1" ht="41.4" x14ac:dyDescent="0.3">
      <c r="A96" s="36"/>
      <c r="B96" s="37" t="s">
        <v>109</v>
      </c>
      <c r="C96" s="38" t="s">
        <v>14</v>
      </c>
      <c r="D96" s="162"/>
      <c r="E96" s="44"/>
      <c r="F96" s="40"/>
      <c r="G96" s="41">
        <f>SUM(G97)</f>
        <v>148777200</v>
      </c>
      <c r="H96" s="42" t="s">
        <v>107</v>
      </c>
    </row>
    <row r="97" spans="1:771 1026:1795 2050:2819 3074:3843 4098:4867 5122:5891 6146:6915 7170:7939 8194:8963 9218:9987 10242:11011 11266:12035 12290:13059 13314:14083 14338:15107 15362:16131" s="35" customFormat="1" ht="31.2" x14ac:dyDescent="0.3">
      <c r="A97" s="36"/>
      <c r="B97" s="37" t="s">
        <v>110</v>
      </c>
      <c r="C97" s="43" t="s">
        <v>55</v>
      </c>
      <c r="D97" s="39" t="s">
        <v>13</v>
      </c>
      <c r="E97" s="44">
        <v>14.3</v>
      </c>
      <c r="F97" s="153">
        <v>10404000</v>
      </c>
      <c r="G97" s="40">
        <f>E97*F97</f>
        <v>148777200</v>
      </c>
      <c r="H97" s="42"/>
    </row>
    <row r="98" spans="1:771 1026:1795 2050:2819 3074:3843 4098:4867 5122:5891 6146:6915 7170:7939 8194:8963 9218:9987 10242:11011 11266:12035 12290:13059 13314:14083 14338:15107 15362:16131" s="35" customFormat="1" ht="78" x14ac:dyDescent="0.3">
      <c r="A98" s="36"/>
      <c r="B98" s="46" t="s">
        <v>111</v>
      </c>
      <c r="C98" s="47" t="s">
        <v>35</v>
      </c>
      <c r="D98" s="39"/>
      <c r="E98" s="44"/>
      <c r="F98" s="40"/>
      <c r="G98" s="41">
        <f>SUM(G99:G103)</f>
        <v>8265192</v>
      </c>
      <c r="H98" s="45"/>
    </row>
    <row r="99" spans="1:771 1026:1795 2050:2819 3074:3843 4098:4867 5122:5891 6146:6915 7170:7939 8194:8963 9218:9987 10242:11011 11266:12035 12290:13059 13314:14083 14338:15107 15362:16131" s="35" customFormat="1" ht="93.6" x14ac:dyDescent="0.3">
      <c r="A99" s="36"/>
      <c r="B99" s="50" t="s">
        <v>112</v>
      </c>
      <c r="C99" s="48" t="s">
        <v>164</v>
      </c>
      <c r="D99" s="39" t="s">
        <v>13</v>
      </c>
      <c r="E99" s="44">
        <v>0.54</v>
      </c>
      <c r="F99" s="40">
        <f>3592000*40%</f>
        <v>1436800</v>
      </c>
      <c r="G99" s="40">
        <f>E99*F99</f>
        <v>775872</v>
      </c>
      <c r="H99" s="42" t="s">
        <v>2378</v>
      </c>
    </row>
    <row r="100" spans="1:771 1026:1795 2050:2819 3074:3843 4098:4867 5122:5891 6146:6915 7170:7939 8194:8963 9218:9987 10242:11011 11266:12035 12290:13059 13314:14083 14338:15107 15362:16131" s="35" customFormat="1" ht="46.8" x14ac:dyDescent="0.3">
      <c r="A100" s="36"/>
      <c r="B100" s="46"/>
      <c r="C100" s="48" t="s">
        <v>114</v>
      </c>
      <c r="D100" s="39"/>
      <c r="E100" s="44">
        <v>14.7</v>
      </c>
      <c r="F100" s="40">
        <f>789000*40%</f>
        <v>315600</v>
      </c>
      <c r="G100" s="40">
        <f>E100*F100</f>
        <v>4639320</v>
      </c>
      <c r="H100" s="52" t="s">
        <v>2374</v>
      </c>
    </row>
    <row r="101" spans="1:771 1026:1795 2050:2819 3074:3843 4098:4867 5122:5891 6146:6915 7170:7939 8194:8963 9218:9987 10242:11011 11266:12035 12290:13059 13314:14083 14338:15107 15362:16131" s="35" customFormat="1" ht="18.600000000000001" x14ac:dyDescent="0.3">
      <c r="A101" s="36"/>
      <c r="B101" s="46"/>
      <c r="C101" s="48" t="s">
        <v>115</v>
      </c>
      <c r="D101" s="39" t="s">
        <v>13</v>
      </c>
      <c r="E101" s="44">
        <f>6.75*3.6</f>
        <v>24.3</v>
      </c>
      <c r="F101" s="40">
        <v>100000</v>
      </c>
      <c r="G101" s="40">
        <f>E101*F101</f>
        <v>2430000</v>
      </c>
      <c r="H101" s="52" t="s">
        <v>17</v>
      </c>
    </row>
    <row r="102" spans="1:771 1026:1795 2050:2819 3074:3843 4098:4867 5122:5891 6146:6915 7170:7939 8194:8963 9218:9987 10242:11011 11266:12035 12290:13059 13314:14083 14338:15107 15362:16131" s="35" customFormat="1" x14ac:dyDescent="0.3">
      <c r="A102" s="36"/>
      <c r="B102" s="46"/>
      <c r="C102" s="48" t="s">
        <v>116</v>
      </c>
      <c r="D102" s="39" t="s">
        <v>19</v>
      </c>
      <c r="E102" s="44">
        <v>2</v>
      </c>
      <c r="F102" s="40">
        <f>360000/4</f>
        <v>90000</v>
      </c>
      <c r="G102" s="40">
        <f>E102*F102</f>
        <v>180000</v>
      </c>
      <c r="H102" s="52"/>
    </row>
    <row r="103" spans="1:771 1026:1795 2050:2819 3074:3843 4098:4867 5122:5891 6146:6915 7170:7939 8194:8963 9218:9987 10242:11011 11266:12035 12290:13059 13314:14083 14338:15107 15362:16131" s="35" customFormat="1" x14ac:dyDescent="0.3">
      <c r="A103" s="36"/>
      <c r="B103" s="46"/>
      <c r="C103" s="48" t="s">
        <v>117</v>
      </c>
      <c r="D103" s="39" t="s">
        <v>19</v>
      </c>
      <c r="E103" s="44">
        <v>4</v>
      </c>
      <c r="F103" s="40">
        <f>240000/4</f>
        <v>60000</v>
      </c>
      <c r="G103" s="40">
        <f>E103*F103</f>
        <v>240000</v>
      </c>
      <c r="H103" s="52"/>
    </row>
    <row r="104" spans="1:771 1026:1795 2050:2819 3074:3843 4098:4867 5122:5891 6146:6915 7170:7939 8194:8963 9218:9987 10242:11011 11266:12035 12290:13059 13314:14083 14338:15107 15362:16131" s="35" customFormat="1" x14ac:dyDescent="0.3">
      <c r="A104" s="36"/>
      <c r="B104" s="46"/>
      <c r="C104" s="51" t="s">
        <v>23</v>
      </c>
      <c r="D104" s="39"/>
      <c r="E104" s="1"/>
      <c r="F104" s="2"/>
      <c r="G104" s="41">
        <f>SUM(G105)</f>
        <v>3060000</v>
      </c>
      <c r="H104" s="52"/>
    </row>
    <row r="105" spans="1:771 1026:1795 2050:2819 3074:3843 4098:4867 5122:5891 6146:6915 7170:7939 8194:8963 9218:9987 10242:11011 11266:12035 12290:13059 13314:14083 14338:15107 15362:16131" s="35" customFormat="1" x14ac:dyDescent="0.3">
      <c r="A105" s="36"/>
      <c r="B105" s="46"/>
      <c r="C105" s="50" t="s">
        <v>24</v>
      </c>
      <c r="D105" s="39" t="s">
        <v>25</v>
      </c>
      <c r="E105" s="1">
        <f>1*30*6</f>
        <v>180</v>
      </c>
      <c r="F105" s="2">
        <v>17000</v>
      </c>
      <c r="G105" s="40">
        <f>E105*F105</f>
        <v>3060000</v>
      </c>
      <c r="H105" s="42"/>
    </row>
    <row r="106" spans="1:771 1026:1795 2050:2819 3074:3843 4098:4867 5122:5891 6146:6915 7170:7939 8194:8963 9218:9987 10242:11011 11266:12035 12290:13059 13314:14083 14338:15107 15362:16131" s="35" customFormat="1" ht="65.400000000000006" thickBot="1" x14ac:dyDescent="0.35">
      <c r="A106" s="53"/>
      <c r="B106" s="54"/>
      <c r="C106" s="55" t="s">
        <v>2331</v>
      </c>
      <c r="D106" s="56"/>
      <c r="E106" s="5"/>
      <c r="F106" s="6"/>
      <c r="G106" s="57"/>
      <c r="H106" s="58"/>
    </row>
    <row r="107" spans="1:771 1026:1795 2050:2819 3074:3843 4098:4867 5122:5891 6146:6915 7170:7939 8194:8963 9218:9987 10242:11011 11266:12035 12290:13059 13314:14083 14338:15107 15362:16131" s="59" customFormat="1" ht="31.8" thickBot="1" x14ac:dyDescent="0.35">
      <c r="A107" s="154"/>
      <c r="B107" s="155" t="s">
        <v>26</v>
      </c>
      <c r="C107" s="156"/>
      <c r="D107" s="154"/>
      <c r="E107" s="157"/>
      <c r="F107" s="158"/>
      <c r="G107" s="159">
        <f>SUM(G95:G106)/2</f>
        <v>160102392</v>
      </c>
      <c r="H107" s="160"/>
      <c r="IX107" s="35"/>
      <c r="IY107" s="35"/>
      <c r="ST107" s="35"/>
      <c r="SU107" s="35"/>
      <c r="ACP107" s="35"/>
      <c r="ACQ107" s="35"/>
      <c r="AML107" s="35"/>
      <c r="AMM107" s="35"/>
      <c r="AWH107" s="35"/>
      <c r="AWI107" s="35"/>
      <c r="BGD107" s="35"/>
      <c r="BGE107" s="35"/>
      <c r="BPZ107" s="35"/>
      <c r="BQA107" s="35"/>
      <c r="BZV107" s="35"/>
      <c r="BZW107" s="35"/>
      <c r="CJR107" s="35"/>
      <c r="CJS107" s="35"/>
      <c r="CTN107" s="35"/>
      <c r="CTO107" s="35"/>
      <c r="DDJ107" s="35"/>
      <c r="DDK107" s="35"/>
      <c r="DNF107" s="35"/>
      <c r="DNG107" s="35"/>
      <c r="DXB107" s="35"/>
      <c r="DXC107" s="35"/>
      <c r="EGX107" s="35"/>
      <c r="EGY107" s="35"/>
      <c r="EQT107" s="35"/>
      <c r="EQU107" s="35"/>
      <c r="FAP107" s="35"/>
      <c r="FAQ107" s="35"/>
      <c r="FKL107" s="35"/>
      <c r="FKM107" s="35"/>
      <c r="FUH107" s="35"/>
      <c r="FUI107" s="35"/>
      <c r="GED107" s="35"/>
      <c r="GEE107" s="35"/>
      <c r="GNZ107" s="35"/>
      <c r="GOA107" s="35"/>
      <c r="GXV107" s="35"/>
      <c r="GXW107" s="35"/>
      <c r="HHR107" s="35"/>
      <c r="HHS107" s="35"/>
      <c r="HRN107" s="35"/>
      <c r="HRO107" s="35"/>
      <c r="IBJ107" s="35"/>
      <c r="IBK107" s="35"/>
      <c r="ILF107" s="35"/>
      <c r="ILG107" s="35"/>
      <c r="IVB107" s="35"/>
      <c r="IVC107" s="35"/>
      <c r="JEX107" s="35"/>
      <c r="JEY107" s="35"/>
      <c r="JOT107" s="35"/>
      <c r="JOU107" s="35"/>
      <c r="JYP107" s="35"/>
      <c r="JYQ107" s="35"/>
      <c r="KIL107" s="35"/>
      <c r="KIM107" s="35"/>
      <c r="KSH107" s="35"/>
      <c r="KSI107" s="35"/>
      <c r="LCD107" s="35"/>
      <c r="LCE107" s="35"/>
      <c r="LLZ107" s="35"/>
      <c r="LMA107" s="35"/>
      <c r="LVV107" s="35"/>
      <c r="LVW107" s="35"/>
      <c r="MFR107" s="35"/>
      <c r="MFS107" s="35"/>
      <c r="MPN107" s="35"/>
      <c r="MPO107" s="35"/>
      <c r="MZJ107" s="35"/>
      <c r="MZK107" s="35"/>
      <c r="NJF107" s="35"/>
      <c r="NJG107" s="35"/>
      <c r="NTB107" s="35"/>
      <c r="NTC107" s="35"/>
      <c r="OCX107" s="35"/>
      <c r="OCY107" s="35"/>
      <c r="OMT107" s="35"/>
      <c r="OMU107" s="35"/>
      <c r="OWP107" s="35"/>
      <c r="OWQ107" s="35"/>
      <c r="PGL107" s="35"/>
      <c r="PGM107" s="35"/>
      <c r="PQH107" s="35"/>
      <c r="PQI107" s="35"/>
      <c r="QAD107" s="35"/>
      <c r="QAE107" s="35"/>
      <c r="QJZ107" s="35"/>
      <c r="QKA107" s="35"/>
      <c r="QTV107" s="35"/>
      <c r="QTW107" s="35"/>
      <c r="RDR107" s="35"/>
      <c r="RDS107" s="35"/>
      <c r="RNN107" s="35"/>
      <c r="RNO107" s="35"/>
      <c r="RXJ107" s="35"/>
      <c r="RXK107" s="35"/>
      <c r="SHF107" s="35"/>
      <c r="SHG107" s="35"/>
      <c r="SRB107" s="35"/>
      <c r="SRC107" s="35"/>
      <c r="TAX107" s="35"/>
      <c r="TAY107" s="35"/>
      <c r="TKT107" s="35"/>
      <c r="TKU107" s="35"/>
      <c r="TUP107" s="35"/>
      <c r="TUQ107" s="35"/>
      <c r="UEL107" s="35"/>
      <c r="UEM107" s="35"/>
      <c r="UOH107" s="35"/>
      <c r="UOI107" s="35"/>
      <c r="UYD107" s="35"/>
      <c r="UYE107" s="35"/>
      <c r="VHZ107" s="35"/>
      <c r="VIA107" s="35"/>
      <c r="VRV107" s="35"/>
      <c r="VRW107" s="35"/>
      <c r="WBR107" s="35"/>
      <c r="WBS107" s="35"/>
      <c r="WLN107" s="35"/>
      <c r="WLO107" s="35"/>
      <c r="WVJ107" s="35"/>
      <c r="WVK107" s="35"/>
    </row>
    <row r="108" spans="1:771 1026:1795 2050:2819 3074:3843 4098:4867 5122:5891 6146:6915 7170:7939 8194:8963 9218:9987 10242:11011 11266:12035 12290:13059 13314:14083 14338:15107 15362:16131" s="35" customFormat="1" ht="55.2" x14ac:dyDescent="0.3">
      <c r="A108" s="28">
        <v>9</v>
      </c>
      <c r="B108" s="29" t="s">
        <v>118</v>
      </c>
      <c r="C108" s="30" t="s">
        <v>123</v>
      </c>
      <c r="D108" s="31" t="s">
        <v>13</v>
      </c>
      <c r="E108" s="32">
        <v>8.1</v>
      </c>
      <c r="F108" s="33"/>
      <c r="G108" s="33"/>
      <c r="H108" s="34" t="s">
        <v>124</v>
      </c>
    </row>
    <row r="109" spans="1:771 1026:1795 2050:2819 3074:3843 4098:4867 5122:5891 6146:6915 7170:7939 8194:8963 9218:9987 10242:11011 11266:12035 12290:13059 13314:14083 14338:15107 15362:16131" s="35" customFormat="1" ht="41.4" x14ac:dyDescent="0.3">
      <c r="A109" s="36"/>
      <c r="B109" s="37" t="s">
        <v>119</v>
      </c>
      <c r="C109" s="38" t="s">
        <v>14</v>
      </c>
      <c r="D109" s="162"/>
      <c r="E109" s="44"/>
      <c r="F109" s="40"/>
      <c r="G109" s="41">
        <f>SUM(G110)</f>
        <v>84272400</v>
      </c>
      <c r="H109" s="42" t="s">
        <v>107</v>
      </c>
    </row>
    <row r="110" spans="1:771 1026:1795 2050:2819 3074:3843 4098:4867 5122:5891 6146:6915 7170:7939 8194:8963 9218:9987 10242:11011 11266:12035 12290:13059 13314:14083 14338:15107 15362:16131" s="35" customFormat="1" ht="31.2" x14ac:dyDescent="0.3">
      <c r="A110" s="36"/>
      <c r="B110" s="37" t="s">
        <v>120</v>
      </c>
      <c r="C110" s="43" t="s">
        <v>55</v>
      </c>
      <c r="D110" s="39" t="s">
        <v>13</v>
      </c>
      <c r="E110" s="44">
        <v>8.1</v>
      </c>
      <c r="F110" s="153">
        <v>10404000</v>
      </c>
      <c r="G110" s="40">
        <f>E110*F110</f>
        <v>84272400</v>
      </c>
      <c r="H110" s="42"/>
    </row>
    <row r="111" spans="1:771 1026:1795 2050:2819 3074:3843 4098:4867 5122:5891 6146:6915 7170:7939 8194:8963 9218:9987 10242:11011 11266:12035 12290:13059 13314:14083 14338:15107 15362:16131" s="35" customFormat="1" ht="62.4" x14ac:dyDescent="0.3">
      <c r="A111" s="36"/>
      <c r="B111" s="46" t="s">
        <v>121</v>
      </c>
      <c r="C111" s="47" t="s">
        <v>35</v>
      </c>
      <c r="D111" s="39"/>
      <c r="E111" s="44"/>
      <c r="F111" s="40"/>
      <c r="G111" s="41">
        <f>SUM(G112:G114)</f>
        <v>3036349.5600000005</v>
      </c>
      <c r="H111" s="45"/>
    </row>
    <row r="112" spans="1:771 1026:1795 2050:2819 3074:3843 4098:4867 5122:5891 6146:6915 7170:7939 8194:8963 9218:9987 10242:11011 11266:12035 12290:13059 13314:14083 14338:15107 15362:16131" s="35" customFormat="1" ht="78" x14ac:dyDescent="0.3">
      <c r="A112" s="36"/>
      <c r="B112" s="50" t="s">
        <v>122</v>
      </c>
      <c r="C112" s="48" t="s">
        <v>125</v>
      </c>
      <c r="D112" s="39" t="s">
        <v>13</v>
      </c>
      <c r="E112" s="44">
        <f>(0.23+0.05)*4.07*0.5</f>
        <v>0.56980000000000008</v>
      </c>
      <c r="F112" s="40">
        <f>3592000*40%</f>
        <v>1436800</v>
      </c>
      <c r="G112" s="40">
        <f>E112*F112</f>
        <v>818688.64000000013</v>
      </c>
      <c r="H112" s="42" t="s">
        <v>2379</v>
      </c>
    </row>
    <row r="113" spans="1:771 1026:1795 2050:2819 3074:3843 4098:4867 5122:5891 6146:6915 7170:7939 8194:8963 9218:9987 10242:11011 11266:12035 12290:13059 13314:14083 14338:15107 15362:16131" s="35" customFormat="1" ht="31.2" x14ac:dyDescent="0.3">
      <c r="A113" s="36"/>
      <c r="B113" s="46"/>
      <c r="C113" s="48" t="s">
        <v>126</v>
      </c>
      <c r="D113" s="39" t="s">
        <v>128</v>
      </c>
      <c r="E113" s="44">
        <f>0.7*4.07*0.1</f>
        <v>0.28490000000000004</v>
      </c>
      <c r="F113" s="40">
        <f>7627000*40%</f>
        <v>3050800</v>
      </c>
      <c r="G113" s="40">
        <f>E113*F113</f>
        <v>869172.92000000016</v>
      </c>
      <c r="H113" s="52" t="s">
        <v>2374</v>
      </c>
    </row>
    <row r="114" spans="1:771 1026:1795 2050:2819 3074:3843 4098:4867 5122:5891 6146:6915 7170:7939 8194:8963 9218:9987 10242:11011 11266:12035 12290:13059 13314:14083 14338:15107 15362:16131" s="35" customFormat="1" ht="31.2" x14ac:dyDescent="0.3">
      <c r="A114" s="36"/>
      <c r="B114" s="46"/>
      <c r="C114" s="48" t="s">
        <v>127</v>
      </c>
      <c r="D114" s="39"/>
      <c r="E114" s="44">
        <f>(4.07*2.9)-5.56</f>
        <v>6.2430000000000012</v>
      </c>
      <c r="F114" s="40">
        <f>540000*40%</f>
        <v>216000</v>
      </c>
      <c r="G114" s="40">
        <f>E114*F114</f>
        <v>1348488.0000000002</v>
      </c>
      <c r="H114" s="52" t="s">
        <v>2374</v>
      </c>
    </row>
    <row r="115" spans="1:771 1026:1795 2050:2819 3074:3843 4098:4867 5122:5891 6146:6915 7170:7939 8194:8963 9218:9987 10242:11011 11266:12035 12290:13059 13314:14083 14338:15107 15362:16131" s="35" customFormat="1" x14ac:dyDescent="0.3">
      <c r="A115" s="36"/>
      <c r="B115" s="46"/>
      <c r="C115" s="51" t="s">
        <v>23</v>
      </c>
      <c r="D115" s="39"/>
      <c r="E115" s="1"/>
      <c r="F115" s="2"/>
      <c r="G115" s="41">
        <f>SUM(G116)</f>
        <v>3060000</v>
      </c>
      <c r="H115" s="52"/>
    </row>
    <row r="116" spans="1:771 1026:1795 2050:2819 3074:3843 4098:4867 5122:5891 6146:6915 7170:7939 8194:8963 9218:9987 10242:11011 11266:12035 12290:13059 13314:14083 14338:15107 15362:16131" s="35" customFormat="1" x14ac:dyDescent="0.3">
      <c r="A116" s="36"/>
      <c r="B116" s="46"/>
      <c r="C116" s="50" t="s">
        <v>24</v>
      </c>
      <c r="D116" s="39" t="s">
        <v>25</v>
      </c>
      <c r="E116" s="1">
        <f>1*30*6</f>
        <v>180</v>
      </c>
      <c r="F116" s="2">
        <v>17000</v>
      </c>
      <c r="G116" s="40">
        <f>E116*F116</f>
        <v>3060000</v>
      </c>
      <c r="H116" s="42"/>
    </row>
    <row r="117" spans="1:771 1026:1795 2050:2819 3074:3843 4098:4867 5122:5891 6146:6915 7170:7939 8194:8963 9218:9987 10242:11011 11266:12035 12290:13059 13314:14083 14338:15107 15362:16131" s="35" customFormat="1" ht="65.400000000000006" thickBot="1" x14ac:dyDescent="0.35">
      <c r="A117" s="53"/>
      <c r="B117" s="54"/>
      <c r="C117" s="55" t="s">
        <v>2331</v>
      </c>
      <c r="D117" s="56"/>
      <c r="E117" s="5"/>
      <c r="F117" s="6"/>
      <c r="G117" s="57"/>
      <c r="H117" s="58"/>
    </row>
    <row r="118" spans="1:771 1026:1795 2050:2819 3074:3843 4098:4867 5122:5891 6146:6915 7170:7939 8194:8963 9218:9987 10242:11011 11266:12035 12290:13059 13314:14083 14338:15107 15362:16131" s="59" customFormat="1" ht="31.8" thickBot="1" x14ac:dyDescent="0.35">
      <c r="A118" s="154"/>
      <c r="B118" s="155" t="s">
        <v>26</v>
      </c>
      <c r="C118" s="156"/>
      <c r="D118" s="154"/>
      <c r="E118" s="157"/>
      <c r="F118" s="158"/>
      <c r="G118" s="159">
        <f>SUM(G108:G117)/2</f>
        <v>90368749.559999987</v>
      </c>
      <c r="H118" s="160"/>
      <c r="IX118" s="35"/>
      <c r="IY118" s="35"/>
      <c r="ST118" s="35"/>
      <c r="SU118" s="35"/>
      <c r="ACP118" s="35"/>
      <c r="ACQ118" s="35"/>
      <c r="AML118" s="35"/>
      <c r="AMM118" s="35"/>
      <c r="AWH118" s="35"/>
      <c r="AWI118" s="35"/>
      <c r="BGD118" s="35"/>
      <c r="BGE118" s="35"/>
      <c r="BPZ118" s="35"/>
      <c r="BQA118" s="35"/>
      <c r="BZV118" s="35"/>
      <c r="BZW118" s="35"/>
      <c r="CJR118" s="35"/>
      <c r="CJS118" s="35"/>
      <c r="CTN118" s="35"/>
      <c r="CTO118" s="35"/>
      <c r="DDJ118" s="35"/>
      <c r="DDK118" s="35"/>
      <c r="DNF118" s="35"/>
      <c r="DNG118" s="35"/>
      <c r="DXB118" s="35"/>
      <c r="DXC118" s="35"/>
      <c r="EGX118" s="35"/>
      <c r="EGY118" s="35"/>
      <c r="EQT118" s="35"/>
      <c r="EQU118" s="35"/>
      <c r="FAP118" s="35"/>
      <c r="FAQ118" s="35"/>
      <c r="FKL118" s="35"/>
      <c r="FKM118" s="35"/>
      <c r="FUH118" s="35"/>
      <c r="FUI118" s="35"/>
      <c r="GED118" s="35"/>
      <c r="GEE118" s="35"/>
      <c r="GNZ118" s="35"/>
      <c r="GOA118" s="35"/>
      <c r="GXV118" s="35"/>
      <c r="GXW118" s="35"/>
      <c r="HHR118" s="35"/>
      <c r="HHS118" s="35"/>
      <c r="HRN118" s="35"/>
      <c r="HRO118" s="35"/>
      <c r="IBJ118" s="35"/>
      <c r="IBK118" s="35"/>
      <c r="ILF118" s="35"/>
      <c r="ILG118" s="35"/>
      <c r="IVB118" s="35"/>
      <c r="IVC118" s="35"/>
      <c r="JEX118" s="35"/>
      <c r="JEY118" s="35"/>
      <c r="JOT118" s="35"/>
      <c r="JOU118" s="35"/>
      <c r="JYP118" s="35"/>
      <c r="JYQ118" s="35"/>
      <c r="KIL118" s="35"/>
      <c r="KIM118" s="35"/>
      <c r="KSH118" s="35"/>
      <c r="KSI118" s="35"/>
      <c r="LCD118" s="35"/>
      <c r="LCE118" s="35"/>
      <c r="LLZ118" s="35"/>
      <c r="LMA118" s="35"/>
      <c r="LVV118" s="35"/>
      <c r="LVW118" s="35"/>
      <c r="MFR118" s="35"/>
      <c r="MFS118" s="35"/>
      <c r="MPN118" s="35"/>
      <c r="MPO118" s="35"/>
      <c r="MZJ118" s="35"/>
      <c r="MZK118" s="35"/>
      <c r="NJF118" s="35"/>
      <c r="NJG118" s="35"/>
      <c r="NTB118" s="35"/>
      <c r="NTC118" s="35"/>
      <c r="OCX118" s="35"/>
      <c r="OCY118" s="35"/>
      <c r="OMT118" s="35"/>
      <c r="OMU118" s="35"/>
      <c r="OWP118" s="35"/>
      <c r="OWQ118" s="35"/>
      <c r="PGL118" s="35"/>
      <c r="PGM118" s="35"/>
      <c r="PQH118" s="35"/>
      <c r="PQI118" s="35"/>
      <c r="QAD118" s="35"/>
      <c r="QAE118" s="35"/>
      <c r="QJZ118" s="35"/>
      <c r="QKA118" s="35"/>
      <c r="QTV118" s="35"/>
      <c r="QTW118" s="35"/>
      <c r="RDR118" s="35"/>
      <c r="RDS118" s="35"/>
      <c r="RNN118" s="35"/>
      <c r="RNO118" s="35"/>
      <c r="RXJ118" s="35"/>
      <c r="RXK118" s="35"/>
      <c r="SHF118" s="35"/>
      <c r="SHG118" s="35"/>
      <c r="SRB118" s="35"/>
      <c r="SRC118" s="35"/>
      <c r="TAX118" s="35"/>
      <c r="TAY118" s="35"/>
      <c r="TKT118" s="35"/>
      <c r="TKU118" s="35"/>
      <c r="TUP118" s="35"/>
      <c r="TUQ118" s="35"/>
      <c r="UEL118" s="35"/>
      <c r="UEM118" s="35"/>
      <c r="UOH118" s="35"/>
      <c r="UOI118" s="35"/>
      <c r="UYD118" s="35"/>
      <c r="UYE118" s="35"/>
      <c r="VHZ118" s="35"/>
      <c r="VIA118" s="35"/>
      <c r="VRV118" s="35"/>
      <c r="VRW118" s="35"/>
      <c r="WBR118" s="35"/>
      <c r="WBS118" s="35"/>
      <c r="WLN118" s="35"/>
      <c r="WLO118" s="35"/>
      <c r="WVJ118" s="35"/>
      <c r="WVK118" s="35"/>
    </row>
    <row r="119" spans="1:771 1026:1795 2050:2819 3074:3843 4098:4867 5122:5891 6146:6915 7170:7939 8194:8963 9218:9987 10242:11011 11266:12035 12290:13059 13314:14083 14338:15107 15362:16131" s="35" customFormat="1" ht="31.2" x14ac:dyDescent="0.3">
      <c r="A119" s="28">
        <v>10</v>
      </c>
      <c r="B119" s="29" t="s">
        <v>129</v>
      </c>
      <c r="C119" s="61" t="s">
        <v>14</v>
      </c>
      <c r="D119" s="31"/>
      <c r="E119" s="32"/>
      <c r="F119" s="33"/>
      <c r="G119" s="62">
        <f>SUM(G120:G127)</f>
        <v>599270400</v>
      </c>
      <c r="H119" s="34"/>
    </row>
    <row r="120" spans="1:771 1026:1795 2050:2819 3074:3843 4098:4867 5122:5891 6146:6915 7170:7939 8194:8963 9218:9987 10242:11011 11266:12035 12290:13059 13314:14083 14338:15107 15362:16131" s="35" customFormat="1" ht="41.4" x14ac:dyDescent="0.3">
      <c r="A120" s="36"/>
      <c r="B120" s="37" t="s">
        <v>130</v>
      </c>
      <c r="C120" s="63" t="s">
        <v>2151</v>
      </c>
      <c r="D120" s="39" t="s">
        <v>13</v>
      </c>
      <c r="E120" s="44">
        <v>8</v>
      </c>
      <c r="F120" s="40"/>
      <c r="G120" s="40"/>
      <c r="H120" s="42" t="s">
        <v>135</v>
      </c>
    </row>
    <row r="121" spans="1:771 1026:1795 2050:2819 3074:3843 4098:4867 5122:5891 6146:6915 7170:7939 8194:8963 9218:9987 10242:11011 11266:12035 12290:13059 13314:14083 14338:15107 15362:16131" s="35" customFormat="1" ht="31.2" x14ac:dyDescent="0.3">
      <c r="A121" s="36"/>
      <c r="B121" s="37" t="s">
        <v>131</v>
      </c>
      <c r="C121" s="48" t="s">
        <v>55</v>
      </c>
      <c r="D121" s="39" t="s">
        <v>13</v>
      </c>
      <c r="E121" s="44">
        <v>8</v>
      </c>
      <c r="F121" s="161">
        <v>10404000</v>
      </c>
      <c r="G121" s="40">
        <f>E121*F121</f>
        <v>83232000</v>
      </c>
      <c r="H121" s="42"/>
    </row>
    <row r="122" spans="1:771 1026:1795 2050:2819 3074:3843 4098:4867 5122:5891 6146:6915 7170:7939 8194:8963 9218:9987 10242:11011 11266:12035 12290:13059 13314:14083 14338:15107 15362:16131" s="35" customFormat="1" ht="31.2" x14ac:dyDescent="0.3">
      <c r="A122" s="36"/>
      <c r="B122" s="64" t="s">
        <v>136</v>
      </c>
      <c r="C122" s="63" t="s">
        <v>134</v>
      </c>
      <c r="D122" s="39" t="s">
        <v>13</v>
      </c>
      <c r="E122" s="44">
        <v>8.1999999999999993</v>
      </c>
      <c r="F122" s="40"/>
      <c r="G122" s="40"/>
      <c r="H122" s="42"/>
    </row>
    <row r="123" spans="1:771 1026:1795 2050:2819 3074:3843 4098:4867 5122:5891 6146:6915 7170:7939 8194:8963 9218:9987 10242:11011 11266:12035 12290:13059 13314:14083 14338:15107 15362:16131" s="35" customFormat="1" ht="31.2" x14ac:dyDescent="0.3">
      <c r="A123" s="36"/>
      <c r="B123" s="50" t="s">
        <v>137</v>
      </c>
      <c r="C123" s="48" t="s">
        <v>55</v>
      </c>
      <c r="D123" s="39" t="s">
        <v>13</v>
      </c>
      <c r="E123" s="44">
        <v>8.1999999999999993</v>
      </c>
      <c r="F123" s="161">
        <v>10404000</v>
      </c>
      <c r="G123" s="40">
        <f>E123*F123</f>
        <v>85312800</v>
      </c>
      <c r="H123" s="42"/>
    </row>
    <row r="124" spans="1:771 1026:1795 2050:2819 3074:3843 4098:4867 5122:5891 6146:6915 7170:7939 8194:8963 9218:9987 10242:11011 11266:12035 12290:13059 13314:14083 14338:15107 15362:16131" s="35" customFormat="1" ht="41.4" x14ac:dyDescent="0.3">
      <c r="A124" s="36"/>
      <c r="B124" s="37"/>
      <c r="C124" s="63" t="s">
        <v>217</v>
      </c>
      <c r="D124" s="39" t="s">
        <v>13</v>
      </c>
      <c r="E124" s="44">
        <v>11.9</v>
      </c>
      <c r="F124" s="40"/>
      <c r="G124" s="40"/>
      <c r="H124" s="42" t="s">
        <v>107</v>
      </c>
    </row>
    <row r="125" spans="1:771 1026:1795 2050:2819 3074:3843 4098:4867 5122:5891 6146:6915 7170:7939 8194:8963 9218:9987 10242:11011 11266:12035 12290:13059 13314:14083 14338:15107 15362:16131" s="35" customFormat="1" ht="31.2" x14ac:dyDescent="0.3">
      <c r="A125" s="36"/>
      <c r="B125" s="37"/>
      <c r="C125" s="48" t="s">
        <v>55</v>
      </c>
      <c r="D125" s="39" t="s">
        <v>13</v>
      </c>
      <c r="E125" s="44">
        <v>11.9</v>
      </c>
      <c r="F125" s="153">
        <v>10404000</v>
      </c>
      <c r="G125" s="40">
        <f>E125*F125</f>
        <v>123807600</v>
      </c>
      <c r="H125" s="42"/>
    </row>
    <row r="126" spans="1:771 1026:1795 2050:2819 3074:3843 4098:4867 5122:5891 6146:6915 7170:7939 8194:8963 9218:9987 10242:11011 11266:12035 12290:13059 13314:14083 14338:15107 15362:16131" s="35" customFormat="1" ht="41.4" x14ac:dyDescent="0.3">
      <c r="A126" s="36"/>
      <c r="B126" s="64"/>
      <c r="C126" s="63" t="s">
        <v>218</v>
      </c>
      <c r="D126" s="39" t="s">
        <v>13</v>
      </c>
      <c r="E126" s="44">
        <v>29.5</v>
      </c>
      <c r="F126" s="40"/>
      <c r="G126" s="40"/>
      <c r="H126" s="42" t="s">
        <v>107</v>
      </c>
    </row>
    <row r="127" spans="1:771 1026:1795 2050:2819 3074:3843 4098:4867 5122:5891 6146:6915 7170:7939 8194:8963 9218:9987 10242:11011 11266:12035 12290:13059 13314:14083 14338:15107 15362:16131" s="35" customFormat="1" ht="31.2" x14ac:dyDescent="0.3">
      <c r="A127" s="36"/>
      <c r="B127" s="50"/>
      <c r="C127" s="48" t="s">
        <v>55</v>
      </c>
      <c r="D127" s="39" t="s">
        <v>13</v>
      </c>
      <c r="E127" s="44">
        <v>29.5</v>
      </c>
      <c r="F127" s="153">
        <v>10404000</v>
      </c>
      <c r="G127" s="40">
        <f>E127*F127</f>
        <v>306918000</v>
      </c>
      <c r="H127" s="42"/>
    </row>
    <row r="128" spans="1:771 1026:1795 2050:2819 3074:3843 4098:4867 5122:5891 6146:6915 7170:7939 8194:8963 9218:9987 10242:11011 11266:12035 12290:13059 13314:14083 14338:15107 15362:16131" s="35" customFormat="1" ht="31.2" x14ac:dyDescent="0.3">
      <c r="A128" s="36"/>
      <c r="B128" s="37" t="s">
        <v>130</v>
      </c>
      <c r="C128" s="47" t="s">
        <v>35</v>
      </c>
      <c r="D128" s="39"/>
      <c r="E128" s="44"/>
      <c r="F128" s="40"/>
      <c r="G128" s="41">
        <f>SUM(G129:G142)</f>
        <v>33512663.999999996</v>
      </c>
      <c r="H128" s="42"/>
    </row>
    <row r="129" spans="1:8" s="35" customFormat="1" ht="109.2" x14ac:dyDescent="0.3">
      <c r="A129" s="36"/>
      <c r="B129" s="46" t="s">
        <v>132</v>
      </c>
      <c r="C129" s="48" t="s">
        <v>165</v>
      </c>
      <c r="D129" s="39" t="s">
        <v>13</v>
      </c>
      <c r="E129" s="65">
        <v>14.634</v>
      </c>
      <c r="F129" s="49"/>
      <c r="G129" s="40">
        <f t="shared" ref="G129:G142" si="1">E129*F129</f>
        <v>0</v>
      </c>
      <c r="H129" s="45" t="s">
        <v>2380</v>
      </c>
    </row>
    <row r="130" spans="1:8" s="35" customFormat="1" ht="31.2" x14ac:dyDescent="0.3">
      <c r="A130" s="36"/>
      <c r="B130" s="50" t="s">
        <v>133</v>
      </c>
      <c r="C130" s="48" t="s">
        <v>141</v>
      </c>
      <c r="D130" s="39"/>
      <c r="E130" s="44">
        <v>8.42</v>
      </c>
      <c r="F130" s="40"/>
      <c r="G130" s="40">
        <f t="shared" si="1"/>
        <v>0</v>
      </c>
      <c r="H130" s="52" t="s">
        <v>179</v>
      </c>
    </row>
    <row r="131" spans="1:8" s="35" customFormat="1" ht="18.600000000000001" x14ac:dyDescent="0.3">
      <c r="A131" s="36"/>
      <c r="B131" s="46"/>
      <c r="C131" s="66" t="s">
        <v>219</v>
      </c>
      <c r="D131" s="39" t="s">
        <v>13</v>
      </c>
      <c r="E131" s="44">
        <f>6*1.5</f>
        <v>9</v>
      </c>
      <c r="F131" s="40">
        <v>361000</v>
      </c>
      <c r="G131" s="40">
        <f t="shared" si="1"/>
        <v>3249000</v>
      </c>
      <c r="H131" s="42" t="s">
        <v>221</v>
      </c>
    </row>
    <row r="132" spans="1:8" s="35" customFormat="1" ht="31.2" x14ac:dyDescent="0.3">
      <c r="A132" s="36"/>
      <c r="B132" s="50"/>
      <c r="C132" s="66" t="s">
        <v>220</v>
      </c>
      <c r="D132" s="39" t="s">
        <v>13</v>
      </c>
      <c r="E132" s="44">
        <f>3.1*1.6</f>
        <v>4.9600000000000009</v>
      </c>
      <c r="F132" s="40">
        <v>361000</v>
      </c>
      <c r="G132" s="40">
        <f t="shared" si="1"/>
        <v>1790560.0000000002</v>
      </c>
      <c r="H132" s="42" t="s">
        <v>221</v>
      </c>
    </row>
    <row r="133" spans="1:8" s="35" customFormat="1" ht="31.2" x14ac:dyDescent="0.3">
      <c r="A133" s="36"/>
      <c r="B133" s="37"/>
      <c r="C133" s="66" t="s">
        <v>222</v>
      </c>
      <c r="D133" s="39"/>
      <c r="E133" s="44"/>
      <c r="F133" s="40"/>
      <c r="G133" s="40">
        <f t="shared" si="1"/>
        <v>0</v>
      </c>
      <c r="H133" s="42" t="s">
        <v>179</v>
      </c>
    </row>
    <row r="134" spans="1:8" s="35" customFormat="1" x14ac:dyDescent="0.3">
      <c r="A134" s="36"/>
      <c r="B134" s="37"/>
      <c r="C134" s="66" t="s">
        <v>15</v>
      </c>
      <c r="D134" s="39"/>
      <c r="E134" s="44"/>
      <c r="F134" s="40"/>
      <c r="G134" s="40">
        <f t="shared" si="1"/>
        <v>0</v>
      </c>
      <c r="H134" s="42"/>
    </row>
    <row r="135" spans="1:8" s="35" customFormat="1" ht="31.2" x14ac:dyDescent="0.3">
      <c r="A135" s="36"/>
      <c r="B135" s="37"/>
      <c r="C135" s="66" t="s">
        <v>223</v>
      </c>
      <c r="D135" s="39" t="s">
        <v>13</v>
      </c>
      <c r="E135" s="65">
        <f>(1.93+1.8)*16.04*0.5</f>
        <v>29.914599999999997</v>
      </c>
      <c r="F135" s="40"/>
      <c r="G135" s="40">
        <f t="shared" si="1"/>
        <v>0</v>
      </c>
      <c r="H135" s="42" t="s">
        <v>179</v>
      </c>
    </row>
    <row r="136" spans="1:8" s="35" customFormat="1" ht="18.600000000000001" x14ac:dyDescent="0.3">
      <c r="A136" s="36"/>
      <c r="B136" s="37"/>
      <c r="C136" s="66" t="s">
        <v>92</v>
      </c>
      <c r="D136" s="39" t="s">
        <v>13</v>
      </c>
      <c r="E136" s="44">
        <f>(2.23*16.04)</f>
        <v>35.769199999999998</v>
      </c>
      <c r="F136" s="40"/>
      <c r="G136" s="40">
        <f t="shared" si="1"/>
        <v>0</v>
      </c>
      <c r="H136" s="42" t="s">
        <v>179</v>
      </c>
    </row>
    <row r="137" spans="1:8" s="35" customFormat="1" ht="31.2" x14ac:dyDescent="0.3">
      <c r="A137" s="36"/>
      <c r="B137" s="37"/>
      <c r="C137" s="66" t="s">
        <v>224</v>
      </c>
      <c r="D137" s="39" t="s">
        <v>13</v>
      </c>
      <c r="E137" s="44">
        <f>(5.3*1.9)+(5.5*1.9)</f>
        <v>20.519999999999996</v>
      </c>
      <c r="F137" s="40">
        <v>1032000</v>
      </c>
      <c r="G137" s="40">
        <f t="shared" si="1"/>
        <v>21176639.999999996</v>
      </c>
      <c r="H137" s="42"/>
    </row>
    <row r="138" spans="1:8" s="35" customFormat="1" ht="18.600000000000001" x14ac:dyDescent="0.3">
      <c r="A138" s="36"/>
      <c r="B138" s="37"/>
      <c r="C138" s="66" t="s">
        <v>115</v>
      </c>
      <c r="D138" s="39" t="s">
        <v>13</v>
      </c>
      <c r="E138" s="44">
        <f>1.78*2.64</f>
        <v>4.6992000000000003</v>
      </c>
      <c r="F138" s="40">
        <v>100000</v>
      </c>
      <c r="G138" s="40">
        <f t="shared" si="1"/>
        <v>469920</v>
      </c>
      <c r="H138" s="42"/>
    </row>
    <row r="139" spans="1:8" s="35" customFormat="1" ht="18.600000000000001" x14ac:dyDescent="0.3">
      <c r="A139" s="36"/>
      <c r="B139" s="37"/>
      <c r="C139" s="66" t="s">
        <v>187</v>
      </c>
      <c r="D139" s="39" t="s">
        <v>104</v>
      </c>
      <c r="E139" s="44">
        <f>0.4*0.4*2.8*2</f>
        <v>0.89600000000000013</v>
      </c>
      <c r="F139" s="40">
        <v>1946000</v>
      </c>
      <c r="G139" s="40">
        <f t="shared" si="1"/>
        <v>1743616.0000000002</v>
      </c>
      <c r="H139" s="42"/>
    </row>
    <row r="140" spans="1:8" s="35" customFormat="1" ht="18.600000000000001" x14ac:dyDescent="0.3">
      <c r="A140" s="36"/>
      <c r="B140" s="37"/>
      <c r="C140" s="66" t="s">
        <v>188</v>
      </c>
      <c r="D140" s="39" t="s">
        <v>13</v>
      </c>
      <c r="E140" s="44">
        <f>0.4*2.8*8</f>
        <v>8.9599999999999991</v>
      </c>
      <c r="F140" s="40">
        <v>107000</v>
      </c>
      <c r="G140" s="40">
        <f t="shared" si="1"/>
        <v>958719.99999999988</v>
      </c>
      <c r="H140" s="42"/>
    </row>
    <row r="141" spans="1:8" s="35" customFormat="1" ht="31.2" x14ac:dyDescent="0.3">
      <c r="A141" s="36"/>
      <c r="B141" s="37"/>
      <c r="C141" s="66" t="s">
        <v>225</v>
      </c>
      <c r="D141" s="39" t="s">
        <v>13</v>
      </c>
      <c r="E141" s="44">
        <f>2.14*2.4</f>
        <v>5.1360000000000001</v>
      </c>
      <c r="F141" s="40">
        <v>733000</v>
      </c>
      <c r="G141" s="40">
        <f t="shared" si="1"/>
        <v>3764688</v>
      </c>
      <c r="H141" s="42"/>
    </row>
    <row r="142" spans="1:8" s="35" customFormat="1" ht="31.2" x14ac:dyDescent="0.3">
      <c r="A142" s="36"/>
      <c r="B142" s="37"/>
      <c r="C142" s="66" t="s">
        <v>226</v>
      </c>
      <c r="D142" s="39" t="s">
        <v>13</v>
      </c>
      <c r="E142" s="44">
        <f>2.14*0.4</f>
        <v>0.85600000000000009</v>
      </c>
      <c r="F142" s="40">
        <v>420000</v>
      </c>
      <c r="G142" s="40">
        <f t="shared" si="1"/>
        <v>359520.00000000006</v>
      </c>
      <c r="H142" s="42"/>
    </row>
    <row r="143" spans="1:8" s="35" customFormat="1" x14ac:dyDescent="0.3">
      <c r="A143" s="36"/>
      <c r="B143" s="46"/>
      <c r="C143" s="51" t="s">
        <v>23</v>
      </c>
      <c r="D143" s="39"/>
      <c r="E143" s="1"/>
      <c r="F143" s="2"/>
      <c r="G143" s="41">
        <f>SUM(G144)</f>
        <v>6120000</v>
      </c>
      <c r="H143" s="52"/>
    </row>
    <row r="144" spans="1:8" s="35" customFormat="1" x14ac:dyDescent="0.3">
      <c r="A144" s="36"/>
      <c r="B144" s="46"/>
      <c r="C144" s="50" t="s">
        <v>24</v>
      </c>
      <c r="D144" s="39" t="s">
        <v>25</v>
      </c>
      <c r="E144" s="1">
        <f>2*30*6</f>
        <v>360</v>
      </c>
      <c r="F144" s="2">
        <v>17000</v>
      </c>
      <c r="G144" s="40">
        <f>E144*F144</f>
        <v>6120000</v>
      </c>
      <c r="H144" s="42"/>
    </row>
    <row r="145" spans="1:771 1026:1795 2050:2819 3074:3843 4098:4867 5122:5891 6146:6915 7170:7939 8194:8963 9218:9987 10242:11011 11266:12035 12290:13059 13314:14083 14338:15107 15362:16131" s="35" customFormat="1" ht="65.400000000000006" thickBot="1" x14ac:dyDescent="0.35">
      <c r="A145" s="53"/>
      <c r="B145" s="54"/>
      <c r="C145" s="55" t="s">
        <v>2331</v>
      </c>
      <c r="D145" s="56"/>
      <c r="E145" s="5"/>
      <c r="F145" s="6"/>
      <c r="G145" s="57"/>
      <c r="H145" s="58"/>
    </row>
    <row r="146" spans="1:771 1026:1795 2050:2819 3074:3843 4098:4867 5122:5891 6146:6915 7170:7939 8194:8963 9218:9987 10242:11011 11266:12035 12290:13059 13314:14083 14338:15107 15362:16131" s="59" customFormat="1" ht="31.8" thickBot="1" x14ac:dyDescent="0.35">
      <c r="A146" s="154"/>
      <c r="B146" s="155" t="s">
        <v>26</v>
      </c>
      <c r="C146" s="156"/>
      <c r="D146" s="154"/>
      <c r="E146" s="157"/>
      <c r="F146" s="158"/>
      <c r="G146" s="159">
        <f>SUM(G119:G145)/2</f>
        <v>638903064</v>
      </c>
      <c r="H146" s="160"/>
      <c r="IX146" s="35"/>
      <c r="IY146" s="35"/>
      <c r="ST146" s="35"/>
      <c r="SU146" s="35"/>
      <c r="ACP146" s="35"/>
      <c r="ACQ146" s="35"/>
      <c r="AML146" s="35"/>
      <c r="AMM146" s="35"/>
      <c r="AWH146" s="35"/>
      <c r="AWI146" s="35"/>
      <c r="BGD146" s="35"/>
      <c r="BGE146" s="35"/>
      <c r="BPZ146" s="35"/>
      <c r="BQA146" s="35"/>
      <c r="BZV146" s="35"/>
      <c r="BZW146" s="35"/>
      <c r="CJR146" s="35"/>
      <c r="CJS146" s="35"/>
      <c r="CTN146" s="35"/>
      <c r="CTO146" s="35"/>
      <c r="DDJ146" s="35"/>
      <c r="DDK146" s="35"/>
      <c r="DNF146" s="35"/>
      <c r="DNG146" s="35"/>
      <c r="DXB146" s="35"/>
      <c r="DXC146" s="35"/>
      <c r="EGX146" s="35"/>
      <c r="EGY146" s="35"/>
      <c r="EQT146" s="35"/>
      <c r="EQU146" s="35"/>
      <c r="FAP146" s="35"/>
      <c r="FAQ146" s="35"/>
      <c r="FKL146" s="35"/>
      <c r="FKM146" s="35"/>
      <c r="FUH146" s="35"/>
      <c r="FUI146" s="35"/>
      <c r="GED146" s="35"/>
      <c r="GEE146" s="35"/>
      <c r="GNZ146" s="35"/>
      <c r="GOA146" s="35"/>
      <c r="GXV146" s="35"/>
      <c r="GXW146" s="35"/>
      <c r="HHR146" s="35"/>
      <c r="HHS146" s="35"/>
      <c r="HRN146" s="35"/>
      <c r="HRO146" s="35"/>
      <c r="IBJ146" s="35"/>
      <c r="IBK146" s="35"/>
      <c r="ILF146" s="35"/>
      <c r="ILG146" s="35"/>
      <c r="IVB146" s="35"/>
      <c r="IVC146" s="35"/>
      <c r="JEX146" s="35"/>
      <c r="JEY146" s="35"/>
      <c r="JOT146" s="35"/>
      <c r="JOU146" s="35"/>
      <c r="JYP146" s="35"/>
      <c r="JYQ146" s="35"/>
      <c r="KIL146" s="35"/>
      <c r="KIM146" s="35"/>
      <c r="KSH146" s="35"/>
      <c r="KSI146" s="35"/>
      <c r="LCD146" s="35"/>
      <c r="LCE146" s="35"/>
      <c r="LLZ146" s="35"/>
      <c r="LMA146" s="35"/>
      <c r="LVV146" s="35"/>
      <c r="LVW146" s="35"/>
      <c r="MFR146" s="35"/>
      <c r="MFS146" s="35"/>
      <c r="MPN146" s="35"/>
      <c r="MPO146" s="35"/>
      <c r="MZJ146" s="35"/>
      <c r="MZK146" s="35"/>
      <c r="NJF146" s="35"/>
      <c r="NJG146" s="35"/>
      <c r="NTB146" s="35"/>
      <c r="NTC146" s="35"/>
      <c r="OCX146" s="35"/>
      <c r="OCY146" s="35"/>
      <c r="OMT146" s="35"/>
      <c r="OMU146" s="35"/>
      <c r="OWP146" s="35"/>
      <c r="OWQ146" s="35"/>
      <c r="PGL146" s="35"/>
      <c r="PGM146" s="35"/>
      <c r="PQH146" s="35"/>
      <c r="PQI146" s="35"/>
      <c r="QAD146" s="35"/>
      <c r="QAE146" s="35"/>
      <c r="QJZ146" s="35"/>
      <c r="QKA146" s="35"/>
      <c r="QTV146" s="35"/>
      <c r="QTW146" s="35"/>
      <c r="RDR146" s="35"/>
      <c r="RDS146" s="35"/>
      <c r="RNN146" s="35"/>
      <c r="RNO146" s="35"/>
      <c r="RXJ146" s="35"/>
      <c r="RXK146" s="35"/>
      <c r="SHF146" s="35"/>
      <c r="SHG146" s="35"/>
      <c r="SRB146" s="35"/>
      <c r="SRC146" s="35"/>
      <c r="TAX146" s="35"/>
      <c r="TAY146" s="35"/>
      <c r="TKT146" s="35"/>
      <c r="TKU146" s="35"/>
      <c r="TUP146" s="35"/>
      <c r="TUQ146" s="35"/>
      <c r="UEL146" s="35"/>
      <c r="UEM146" s="35"/>
      <c r="UOH146" s="35"/>
      <c r="UOI146" s="35"/>
      <c r="UYD146" s="35"/>
      <c r="UYE146" s="35"/>
      <c r="VHZ146" s="35"/>
      <c r="VIA146" s="35"/>
      <c r="VRV146" s="35"/>
      <c r="VRW146" s="35"/>
      <c r="WBR146" s="35"/>
      <c r="WBS146" s="35"/>
      <c r="WLN146" s="35"/>
      <c r="WLO146" s="35"/>
      <c r="WVJ146" s="35"/>
      <c r="WVK146" s="35"/>
    </row>
    <row r="147" spans="1:771 1026:1795 2050:2819 3074:3843 4098:4867 5122:5891 6146:6915 7170:7939 8194:8963 9218:9987 10242:11011 11266:12035 12290:13059 13314:14083 14338:15107 15362:16131" s="35" customFormat="1" ht="55.2" x14ac:dyDescent="0.3">
      <c r="A147" s="28">
        <v>11</v>
      </c>
      <c r="B147" s="29" t="s">
        <v>142</v>
      </c>
      <c r="C147" s="30" t="s">
        <v>148</v>
      </c>
      <c r="D147" s="31" t="s">
        <v>13</v>
      </c>
      <c r="E147" s="32">
        <v>19.5</v>
      </c>
      <c r="F147" s="33"/>
      <c r="G147" s="33"/>
      <c r="H147" s="34" t="s">
        <v>147</v>
      </c>
    </row>
    <row r="148" spans="1:771 1026:1795 2050:2819 3074:3843 4098:4867 5122:5891 6146:6915 7170:7939 8194:8963 9218:9987 10242:11011 11266:12035 12290:13059 13314:14083 14338:15107 15362:16131" s="35" customFormat="1" ht="31.2" x14ac:dyDescent="0.3">
      <c r="A148" s="36"/>
      <c r="B148" s="37" t="s">
        <v>143</v>
      </c>
      <c r="C148" s="38" t="s">
        <v>14</v>
      </c>
      <c r="D148" s="39"/>
      <c r="E148" s="44"/>
      <c r="F148" s="40"/>
      <c r="G148" s="41">
        <f>SUM(G149)</f>
        <v>202878000</v>
      </c>
      <c r="H148" s="42"/>
    </row>
    <row r="149" spans="1:771 1026:1795 2050:2819 3074:3843 4098:4867 5122:5891 6146:6915 7170:7939 8194:8963 9218:9987 10242:11011 11266:12035 12290:13059 13314:14083 14338:15107 15362:16131" s="35" customFormat="1" ht="31.2" x14ac:dyDescent="0.3">
      <c r="A149" s="36"/>
      <c r="B149" s="37" t="s">
        <v>144</v>
      </c>
      <c r="C149" s="43" t="s">
        <v>55</v>
      </c>
      <c r="D149" s="39" t="s">
        <v>13</v>
      </c>
      <c r="E149" s="44">
        <v>19.5</v>
      </c>
      <c r="F149" s="153">
        <v>10404000</v>
      </c>
      <c r="G149" s="40">
        <f>E149*F149</f>
        <v>202878000</v>
      </c>
      <c r="H149" s="42"/>
    </row>
    <row r="150" spans="1:771 1026:1795 2050:2819 3074:3843 4098:4867 5122:5891 6146:6915 7170:7939 8194:8963 9218:9987 10242:11011 11266:12035 12290:13059 13314:14083 14338:15107 15362:16131" s="35" customFormat="1" ht="78" x14ac:dyDescent="0.3">
      <c r="A150" s="36"/>
      <c r="B150" s="46" t="s">
        <v>145</v>
      </c>
      <c r="C150" s="51" t="s">
        <v>23</v>
      </c>
      <c r="D150" s="39"/>
      <c r="E150" s="1"/>
      <c r="F150" s="2"/>
      <c r="G150" s="41">
        <f>SUM(G151)</f>
        <v>3060000</v>
      </c>
      <c r="H150" s="52"/>
    </row>
    <row r="151" spans="1:771 1026:1795 2050:2819 3074:3843 4098:4867 5122:5891 6146:6915 7170:7939 8194:8963 9218:9987 10242:11011 11266:12035 12290:13059 13314:14083 14338:15107 15362:16131" s="35" customFormat="1" x14ac:dyDescent="0.3">
      <c r="A151" s="36"/>
      <c r="B151" s="50" t="s">
        <v>146</v>
      </c>
      <c r="C151" s="50" t="s">
        <v>24</v>
      </c>
      <c r="D151" s="39" t="s">
        <v>25</v>
      </c>
      <c r="E151" s="1">
        <f>1*30*6</f>
        <v>180</v>
      </c>
      <c r="F151" s="2">
        <v>17000</v>
      </c>
      <c r="G151" s="40">
        <f>E151*F151</f>
        <v>3060000</v>
      </c>
      <c r="H151" s="42"/>
    </row>
    <row r="152" spans="1:771 1026:1795 2050:2819 3074:3843 4098:4867 5122:5891 6146:6915 7170:7939 8194:8963 9218:9987 10242:11011 11266:12035 12290:13059 13314:14083 14338:15107 15362:16131" s="35" customFormat="1" ht="65.400000000000006" thickBot="1" x14ac:dyDescent="0.35">
      <c r="A152" s="53"/>
      <c r="B152" s="54"/>
      <c r="C152" s="55" t="s">
        <v>2331</v>
      </c>
      <c r="D152" s="56"/>
      <c r="E152" s="5"/>
      <c r="F152" s="6"/>
      <c r="G152" s="57"/>
      <c r="H152" s="58"/>
    </row>
    <row r="153" spans="1:771 1026:1795 2050:2819 3074:3843 4098:4867 5122:5891 6146:6915 7170:7939 8194:8963 9218:9987 10242:11011 11266:12035 12290:13059 13314:14083 14338:15107 15362:16131" s="59" customFormat="1" ht="31.8" thickBot="1" x14ac:dyDescent="0.35">
      <c r="A153" s="154"/>
      <c r="B153" s="155" t="s">
        <v>26</v>
      </c>
      <c r="C153" s="156"/>
      <c r="D153" s="154"/>
      <c r="E153" s="157"/>
      <c r="F153" s="158"/>
      <c r="G153" s="159">
        <f>SUM(G147:G152)/2</f>
        <v>205938000</v>
      </c>
      <c r="H153" s="160"/>
      <c r="IX153" s="35"/>
      <c r="IY153" s="35"/>
      <c r="ST153" s="35"/>
      <c r="SU153" s="35"/>
      <c r="ACP153" s="35"/>
      <c r="ACQ153" s="35"/>
      <c r="AML153" s="35"/>
      <c r="AMM153" s="35"/>
      <c r="AWH153" s="35"/>
      <c r="AWI153" s="35"/>
      <c r="BGD153" s="35"/>
      <c r="BGE153" s="35"/>
      <c r="BPZ153" s="35"/>
      <c r="BQA153" s="35"/>
      <c r="BZV153" s="35"/>
      <c r="BZW153" s="35"/>
      <c r="CJR153" s="35"/>
      <c r="CJS153" s="35"/>
      <c r="CTN153" s="35"/>
      <c r="CTO153" s="35"/>
      <c r="DDJ153" s="35"/>
      <c r="DDK153" s="35"/>
      <c r="DNF153" s="35"/>
      <c r="DNG153" s="35"/>
      <c r="DXB153" s="35"/>
      <c r="DXC153" s="35"/>
      <c r="EGX153" s="35"/>
      <c r="EGY153" s="35"/>
      <c r="EQT153" s="35"/>
      <c r="EQU153" s="35"/>
      <c r="FAP153" s="35"/>
      <c r="FAQ153" s="35"/>
      <c r="FKL153" s="35"/>
      <c r="FKM153" s="35"/>
      <c r="FUH153" s="35"/>
      <c r="FUI153" s="35"/>
      <c r="GED153" s="35"/>
      <c r="GEE153" s="35"/>
      <c r="GNZ153" s="35"/>
      <c r="GOA153" s="35"/>
      <c r="GXV153" s="35"/>
      <c r="GXW153" s="35"/>
      <c r="HHR153" s="35"/>
      <c r="HHS153" s="35"/>
      <c r="HRN153" s="35"/>
      <c r="HRO153" s="35"/>
      <c r="IBJ153" s="35"/>
      <c r="IBK153" s="35"/>
      <c r="ILF153" s="35"/>
      <c r="ILG153" s="35"/>
      <c r="IVB153" s="35"/>
      <c r="IVC153" s="35"/>
      <c r="JEX153" s="35"/>
      <c r="JEY153" s="35"/>
      <c r="JOT153" s="35"/>
      <c r="JOU153" s="35"/>
      <c r="JYP153" s="35"/>
      <c r="JYQ153" s="35"/>
      <c r="KIL153" s="35"/>
      <c r="KIM153" s="35"/>
      <c r="KSH153" s="35"/>
      <c r="KSI153" s="35"/>
      <c r="LCD153" s="35"/>
      <c r="LCE153" s="35"/>
      <c r="LLZ153" s="35"/>
      <c r="LMA153" s="35"/>
      <c r="LVV153" s="35"/>
      <c r="LVW153" s="35"/>
      <c r="MFR153" s="35"/>
      <c r="MFS153" s="35"/>
      <c r="MPN153" s="35"/>
      <c r="MPO153" s="35"/>
      <c r="MZJ153" s="35"/>
      <c r="MZK153" s="35"/>
      <c r="NJF153" s="35"/>
      <c r="NJG153" s="35"/>
      <c r="NTB153" s="35"/>
      <c r="NTC153" s="35"/>
      <c r="OCX153" s="35"/>
      <c r="OCY153" s="35"/>
      <c r="OMT153" s="35"/>
      <c r="OMU153" s="35"/>
      <c r="OWP153" s="35"/>
      <c r="OWQ153" s="35"/>
      <c r="PGL153" s="35"/>
      <c r="PGM153" s="35"/>
      <c r="PQH153" s="35"/>
      <c r="PQI153" s="35"/>
      <c r="QAD153" s="35"/>
      <c r="QAE153" s="35"/>
      <c r="QJZ153" s="35"/>
      <c r="QKA153" s="35"/>
      <c r="QTV153" s="35"/>
      <c r="QTW153" s="35"/>
      <c r="RDR153" s="35"/>
      <c r="RDS153" s="35"/>
      <c r="RNN153" s="35"/>
      <c r="RNO153" s="35"/>
      <c r="RXJ153" s="35"/>
      <c r="RXK153" s="35"/>
      <c r="SHF153" s="35"/>
      <c r="SHG153" s="35"/>
      <c r="SRB153" s="35"/>
      <c r="SRC153" s="35"/>
      <c r="TAX153" s="35"/>
      <c r="TAY153" s="35"/>
      <c r="TKT153" s="35"/>
      <c r="TKU153" s="35"/>
      <c r="TUP153" s="35"/>
      <c r="TUQ153" s="35"/>
      <c r="UEL153" s="35"/>
      <c r="UEM153" s="35"/>
      <c r="UOH153" s="35"/>
      <c r="UOI153" s="35"/>
      <c r="UYD153" s="35"/>
      <c r="UYE153" s="35"/>
      <c r="VHZ153" s="35"/>
      <c r="VIA153" s="35"/>
      <c r="VRV153" s="35"/>
      <c r="VRW153" s="35"/>
      <c r="WBR153" s="35"/>
      <c r="WBS153" s="35"/>
      <c r="WLN153" s="35"/>
      <c r="WLO153" s="35"/>
      <c r="WVJ153" s="35"/>
      <c r="WVK153" s="35"/>
    </row>
    <row r="154" spans="1:771 1026:1795 2050:2819 3074:3843 4098:4867 5122:5891 6146:6915 7170:7939 8194:8963 9218:9987 10242:11011 11266:12035 12290:13059 13314:14083 14338:15107 15362:16131" s="35" customFormat="1" ht="124.8" x14ac:dyDescent="0.3">
      <c r="A154" s="28">
        <v>12</v>
      </c>
      <c r="B154" s="29" t="s">
        <v>149</v>
      </c>
      <c r="C154" s="30" t="s">
        <v>152</v>
      </c>
      <c r="D154" s="31" t="s">
        <v>13</v>
      </c>
      <c r="E154" s="32">
        <v>9.9</v>
      </c>
      <c r="F154" s="33"/>
      <c r="G154" s="33"/>
      <c r="H154" s="34" t="s">
        <v>153</v>
      </c>
    </row>
    <row r="155" spans="1:771 1026:1795 2050:2819 3074:3843 4098:4867 5122:5891 6146:6915 7170:7939 8194:8963 9218:9987 10242:11011 11266:12035 12290:13059 13314:14083 14338:15107 15362:16131" s="35" customFormat="1" ht="78" x14ac:dyDescent="0.3">
      <c r="A155" s="36"/>
      <c r="B155" s="46" t="s">
        <v>150</v>
      </c>
      <c r="C155" s="38" t="s">
        <v>14</v>
      </c>
      <c r="D155" s="162"/>
      <c r="E155" s="44"/>
      <c r="F155" s="40"/>
      <c r="G155" s="41">
        <f>SUM(G156)</f>
        <v>192842100</v>
      </c>
      <c r="H155" s="42"/>
    </row>
    <row r="156" spans="1:771 1026:1795 2050:2819 3074:3843 4098:4867 5122:5891 6146:6915 7170:7939 8194:8963 9218:9987 10242:11011 11266:12035 12290:13059 13314:14083 14338:15107 15362:16131" s="35" customFormat="1" ht="18.600000000000001" x14ac:dyDescent="0.3">
      <c r="A156" s="36"/>
      <c r="B156" s="37" t="s">
        <v>151</v>
      </c>
      <c r="C156" s="48" t="s">
        <v>38</v>
      </c>
      <c r="D156" s="39" t="s">
        <v>13</v>
      </c>
      <c r="E156" s="44">
        <v>9.9</v>
      </c>
      <c r="F156" s="161">
        <v>19479000</v>
      </c>
      <c r="G156" s="40">
        <f>E156*F156</f>
        <v>192842100</v>
      </c>
      <c r="H156" s="42"/>
    </row>
    <row r="157" spans="1:771 1026:1795 2050:2819 3074:3843 4098:4867 5122:5891 6146:6915 7170:7939 8194:8963 9218:9987 10242:11011 11266:12035 12290:13059 13314:14083 14338:15107 15362:16131" s="35" customFormat="1" x14ac:dyDescent="0.3">
      <c r="A157" s="36"/>
      <c r="B157" s="50"/>
      <c r="C157" s="47" t="s">
        <v>35</v>
      </c>
      <c r="D157" s="39"/>
      <c r="E157" s="44"/>
      <c r="F157" s="40"/>
      <c r="G157" s="41">
        <f>SUM(G158)</f>
        <v>7101000</v>
      </c>
      <c r="H157" s="45"/>
    </row>
    <row r="158" spans="1:771 1026:1795 2050:2819 3074:3843 4098:4867 5122:5891 6146:6915 7170:7939 8194:8963 9218:9987 10242:11011 11266:12035 12290:13059 13314:14083 14338:15107 15362:16131" s="35" customFormat="1" ht="46.8" x14ac:dyDescent="0.3">
      <c r="A158" s="36"/>
      <c r="B158" s="46"/>
      <c r="C158" s="48" t="s">
        <v>2150</v>
      </c>
      <c r="D158" s="39" t="s">
        <v>13</v>
      </c>
      <c r="E158" s="44">
        <f>2*4.5</f>
        <v>9</v>
      </c>
      <c r="F158" s="40">
        <v>789000</v>
      </c>
      <c r="G158" s="40">
        <f>E158*F158</f>
        <v>7101000</v>
      </c>
      <c r="H158" s="35" t="s">
        <v>2375</v>
      </c>
    </row>
    <row r="159" spans="1:771 1026:1795 2050:2819 3074:3843 4098:4867 5122:5891 6146:6915 7170:7939 8194:8963 9218:9987 10242:11011 11266:12035 12290:13059 13314:14083 14338:15107 15362:16131" s="35" customFormat="1" ht="65.400000000000006" thickBot="1" x14ac:dyDescent="0.35">
      <c r="A159" s="53"/>
      <c r="B159" s="54"/>
      <c r="C159" s="55" t="s">
        <v>2331</v>
      </c>
      <c r="D159" s="56"/>
      <c r="E159" s="5"/>
      <c r="F159" s="6"/>
      <c r="G159" s="57"/>
      <c r="H159" s="58"/>
    </row>
    <row r="160" spans="1:771 1026:1795 2050:2819 3074:3843 4098:4867 5122:5891 6146:6915 7170:7939 8194:8963 9218:9987 10242:11011 11266:12035 12290:13059 13314:14083 14338:15107 15362:16131" s="59" customFormat="1" ht="31.8" thickBot="1" x14ac:dyDescent="0.35">
      <c r="A160" s="154"/>
      <c r="B160" s="155" t="s">
        <v>26</v>
      </c>
      <c r="C160" s="156"/>
      <c r="D160" s="154"/>
      <c r="E160" s="157"/>
      <c r="F160" s="158"/>
      <c r="G160" s="159">
        <f>SUM(G154:G159)/2</f>
        <v>199943100</v>
      </c>
      <c r="H160" s="160"/>
      <c r="IX160" s="35"/>
      <c r="IY160" s="35"/>
      <c r="ST160" s="35"/>
      <c r="SU160" s="35"/>
      <c r="ACP160" s="35"/>
      <c r="ACQ160" s="35"/>
      <c r="AML160" s="35"/>
      <c r="AMM160" s="35"/>
      <c r="AWH160" s="35"/>
      <c r="AWI160" s="35"/>
      <c r="BGD160" s="35"/>
      <c r="BGE160" s="35"/>
      <c r="BPZ160" s="35"/>
      <c r="BQA160" s="35"/>
      <c r="BZV160" s="35"/>
      <c r="BZW160" s="35"/>
      <c r="CJR160" s="35"/>
      <c r="CJS160" s="35"/>
      <c r="CTN160" s="35"/>
      <c r="CTO160" s="35"/>
      <c r="DDJ160" s="35"/>
      <c r="DDK160" s="35"/>
      <c r="DNF160" s="35"/>
      <c r="DNG160" s="35"/>
      <c r="DXB160" s="35"/>
      <c r="DXC160" s="35"/>
      <c r="EGX160" s="35"/>
      <c r="EGY160" s="35"/>
      <c r="EQT160" s="35"/>
      <c r="EQU160" s="35"/>
      <c r="FAP160" s="35"/>
      <c r="FAQ160" s="35"/>
      <c r="FKL160" s="35"/>
      <c r="FKM160" s="35"/>
      <c r="FUH160" s="35"/>
      <c r="FUI160" s="35"/>
      <c r="GED160" s="35"/>
      <c r="GEE160" s="35"/>
      <c r="GNZ160" s="35"/>
      <c r="GOA160" s="35"/>
      <c r="GXV160" s="35"/>
      <c r="GXW160" s="35"/>
      <c r="HHR160" s="35"/>
      <c r="HHS160" s="35"/>
      <c r="HRN160" s="35"/>
      <c r="HRO160" s="35"/>
      <c r="IBJ160" s="35"/>
      <c r="IBK160" s="35"/>
      <c r="ILF160" s="35"/>
      <c r="ILG160" s="35"/>
      <c r="IVB160" s="35"/>
      <c r="IVC160" s="35"/>
      <c r="JEX160" s="35"/>
      <c r="JEY160" s="35"/>
      <c r="JOT160" s="35"/>
      <c r="JOU160" s="35"/>
      <c r="JYP160" s="35"/>
      <c r="JYQ160" s="35"/>
      <c r="KIL160" s="35"/>
      <c r="KIM160" s="35"/>
      <c r="KSH160" s="35"/>
      <c r="KSI160" s="35"/>
      <c r="LCD160" s="35"/>
      <c r="LCE160" s="35"/>
      <c r="LLZ160" s="35"/>
      <c r="LMA160" s="35"/>
      <c r="LVV160" s="35"/>
      <c r="LVW160" s="35"/>
      <c r="MFR160" s="35"/>
      <c r="MFS160" s="35"/>
      <c r="MPN160" s="35"/>
      <c r="MPO160" s="35"/>
      <c r="MZJ160" s="35"/>
      <c r="MZK160" s="35"/>
      <c r="NJF160" s="35"/>
      <c r="NJG160" s="35"/>
      <c r="NTB160" s="35"/>
      <c r="NTC160" s="35"/>
      <c r="OCX160" s="35"/>
      <c r="OCY160" s="35"/>
      <c r="OMT160" s="35"/>
      <c r="OMU160" s="35"/>
      <c r="OWP160" s="35"/>
      <c r="OWQ160" s="35"/>
      <c r="PGL160" s="35"/>
      <c r="PGM160" s="35"/>
      <c r="PQH160" s="35"/>
      <c r="PQI160" s="35"/>
      <c r="QAD160" s="35"/>
      <c r="QAE160" s="35"/>
      <c r="QJZ160" s="35"/>
      <c r="QKA160" s="35"/>
      <c r="QTV160" s="35"/>
      <c r="QTW160" s="35"/>
      <c r="RDR160" s="35"/>
      <c r="RDS160" s="35"/>
      <c r="RNN160" s="35"/>
      <c r="RNO160" s="35"/>
      <c r="RXJ160" s="35"/>
      <c r="RXK160" s="35"/>
      <c r="SHF160" s="35"/>
      <c r="SHG160" s="35"/>
      <c r="SRB160" s="35"/>
      <c r="SRC160" s="35"/>
      <c r="TAX160" s="35"/>
      <c r="TAY160" s="35"/>
      <c r="TKT160" s="35"/>
      <c r="TKU160" s="35"/>
      <c r="TUP160" s="35"/>
      <c r="TUQ160" s="35"/>
      <c r="UEL160" s="35"/>
      <c r="UEM160" s="35"/>
      <c r="UOH160" s="35"/>
      <c r="UOI160" s="35"/>
      <c r="UYD160" s="35"/>
      <c r="UYE160" s="35"/>
      <c r="VHZ160" s="35"/>
      <c r="VIA160" s="35"/>
      <c r="VRV160" s="35"/>
      <c r="VRW160" s="35"/>
      <c r="WBR160" s="35"/>
      <c r="WBS160" s="35"/>
      <c r="WLN160" s="35"/>
      <c r="WLO160" s="35"/>
      <c r="WVJ160" s="35"/>
      <c r="WVK160" s="35"/>
    </row>
    <row r="161" spans="1:771 1026:1795 2050:2819 3074:3843 4098:4867 5122:5891 6146:6915 7170:7939 8194:8963 9218:9987 10242:11011 11266:12035 12290:13059 13314:14083 14338:15107 15362:16131" s="35" customFormat="1" ht="55.2" x14ac:dyDescent="0.3">
      <c r="A161" s="28">
        <v>13</v>
      </c>
      <c r="B161" s="29" t="s">
        <v>154</v>
      </c>
      <c r="C161" s="30" t="s">
        <v>2181</v>
      </c>
      <c r="D161" s="31" t="s">
        <v>13</v>
      </c>
      <c r="E161" s="32">
        <v>7.8</v>
      </c>
      <c r="F161" s="33"/>
      <c r="G161" s="33"/>
      <c r="H161" s="34" t="s">
        <v>158</v>
      </c>
    </row>
    <row r="162" spans="1:771 1026:1795 2050:2819 3074:3843 4098:4867 5122:5891 6146:6915 7170:7939 8194:8963 9218:9987 10242:11011 11266:12035 12290:13059 13314:14083 14338:15107 15362:16131" s="35" customFormat="1" ht="31.2" x14ac:dyDescent="0.3">
      <c r="A162" s="36"/>
      <c r="B162" s="37" t="s">
        <v>155</v>
      </c>
      <c r="C162" s="38" t="s">
        <v>14</v>
      </c>
      <c r="D162" s="39"/>
      <c r="E162" s="44"/>
      <c r="F162" s="40"/>
      <c r="G162" s="41">
        <f>SUM(G163)</f>
        <v>151936200</v>
      </c>
      <c r="H162" s="42"/>
    </row>
    <row r="163" spans="1:771 1026:1795 2050:2819 3074:3843 4098:4867 5122:5891 6146:6915 7170:7939 8194:8963 9218:9987 10242:11011 11266:12035 12290:13059 13314:14083 14338:15107 15362:16131" s="35" customFormat="1" ht="18.600000000000001" x14ac:dyDescent="0.3">
      <c r="A163" s="36"/>
      <c r="B163" s="37" t="s">
        <v>156</v>
      </c>
      <c r="C163" s="48" t="s">
        <v>38</v>
      </c>
      <c r="D163" s="39" t="s">
        <v>13</v>
      </c>
      <c r="E163" s="44">
        <v>7.8</v>
      </c>
      <c r="F163" s="161">
        <v>19479000</v>
      </c>
      <c r="G163" s="40">
        <f>E163*F163</f>
        <v>151936200</v>
      </c>
      <c r="H163" s="42"/>
    </row>
    <row r="164" spans="1:771 1026:1795 2050:2819 3074:3843 4098:4867 5122:5891 6146:6915 7170:7939 8194:8963 9218:9987 10242:11011 11266:12035 12290:13059 13314:14083 14338:15107 15362:16131" s="35" customFormat="1" ht="62.4" x14ac:dyDescent="0.3">
      <c r="A164" s="36"/>
      <c r="B164" s="46" t="s">
        <v>157</v>
      </c>
      <c r="C164" s="66" t="s">
        <v>159</v>
      </c>
      <c r="D164" s="39"/>
      <c r="E164" s="44"/>
      <c r="F164" s="40"/>
      <c r="G164" s="40"/>
      <c r="H164" s="45"/>
    </row>
    <row r="165" spans="1:771 1026:1795 2050:2819 3074:3843 4098:4867 5122:5891 6146:6915 7170:7939 8194:8963 9218:9987 10242:11011 11266:12035 12290:13059 13314:14083 14338:15107 15362:16131" s="35" customFormat="1" ht="65.400000000000006" thickBot="1" x14ac:dyDescent="0.35">
      <c r="A165" s="53"/>
      <c r="B165" s="67" t="s">
        <v>151</v>
      </c>
      <c r="C165" s="55" t="s">
        <v>2331</v>
      </c>
      <c r="D165" s="56"/>
      <c r="E165" s="5"/>
      <c r="F165" s="6"/>
      <c r="G165" s="57"/>
      <c r="H165" s="58"/>
    </row>
    <row r="166" spans="1:771 1026:1795 2050:2819 3074:3843 4098:4867 5122:5891 6146:6915 7170:7939 8194:8963 9218:9987 10242:11011 11266:12035 12290:13059 13314:14083 14338:15107 15362:16131" s="59" customFormat="1" ht="31.8" thickBot="1" x14ac:dyDescent="0.35">
      <c r="A166" s="154"/>
      <c r="B166" s="155" t="s">
        <v>26</v>
      </c>
      <c r="C166" s="156"/>
      <c r="D166" s="154"/>
      <c r="E166" s="157"/>
      <c r="F166" s="158"/>
      <c r="G166" s="159">
        <f>SUM(G161:G165)/2</f>
        <v>151936200</v>
      </c>
      <c r="H166" s="160"/>
      <c r="IX166" s="35"/>
      <c r="IY166" s="35"/>
      <c r="ST166" s="35"/>
      <c r="SU166" s="35"/>
      <c r="ACP166" s="35"/>
      <c r="ACQ166" s="35"/>
      <c r="AML166" s="35"/>
      <c r="AMM166" s="35"/>
      <c r="AWH166" s="35"/>
      <c r="AWI166" s="35"/>
      <c r="BGD166" s="35"/>
      <c r="BGE166" s="35"/>
      <c r="BPZ166" s="35"/>
      <c r="BQA166" s="35"/>
      <c r="BZV166" s="35"/>
      <c r="BZW166" s="35"/>
      <c r="CJR166" s="35"/>
      <c r="CJS166" s="35"/>
      <c r="CTN166" s="35"/>
      <c r="CTO166" s="35"/>
      <c r="DDJ166" s="35"/>
      <c r="DDK166" s="35"/>
      <c r="DNF166" s="35"/>
      <c r="DNG166" s="35"/>
      <c r="DXB166" s="35"/>
      <c r="DXC166" s="35"/>
      <c r="EGX166" s="35"/>
      <c r="EGY166" s="35"/>
      <c r="EQT166" s="35"/>
      <c r="EQU166" s="35"/>
      <c r="FAP166" s="35"/>
      <c r="FAQ166" s="35"/>
      <c r="FKL166" s="35"/>
      <c r="FKM166" s="35"/>
      <c r="FUH166" s="35"/>
      <c r="FUI166" s="35"/>
      <c r="GED166" s="35"/>
      <c r="GEE166" s="35"/>
      <c r="GNZ166" s="35"/>
      <c r="GOA166" s="35"/>
      <c r="GXV166" s="35"/>
      <c r="GXW166" s="35"/>
      <c r="HHR166" s="35"/>
      <c r="HHS166" s="35"/>
      <c r="HRN166" s="35"/>
      <c r="HRO166" s="35"/>
      <c r="IBJ166" s="35"/>
      <c r="IBK166" s="35"/>
      <c r="ILF166" s="35"/>
      <c r="ILG166" s="35"/>
      <c r="IVB166" s="35"/>
      <c r="IVC166" s="35"/>
      <c r="JEX166" s="35"/>
      <c r="JEY166" s="35"/>
      <c r="JOT166" s="35"/>
      <c r="JOU166" s="35"/>
      <c r="JYP166" s="35"/>
      <c r="JYQ166" s="35"/>
      <c r="KIL166" s="35"/>
      <c r="KIM166" s="35"/>
      <c r="KSH166" s="35"/>
      <c r="KSI166" s="35"/>
      <c r="LCD166" s="35"/>
      <c r="LCE166" s="35"/>
      <c r="LLZ166" s="35"/>
      <c r="LMA166" s="35"/>
      <c r="LVV166" s="35"/>
      <c r="LVW166" s="35"/>
      <c r="MFR166" s="35"/>
      <c r="MFS166" s="35"/>
      <c r="MPN166" s="35"/>
      <c r="MPO166" s="35"/>
      <c r="MZJ166" s="35"/>
      <c r="MZK166" s="35"/>
      <c r="NJF166" s="35"/>
      <c r="NJG166" s="35"/>
      <c r="NTB166" s="35"/>
      <c r="NTC166" s="35"/>
      <c r="OCX166" s="35"/>
      <c r="OCY166" s="35"/>
      <c r="OMT166" s="35"/>
      <c r="OMU166" s="35"/>
      <c r="OWP166" s="35"/>
      <c r="OWQ166" s="35"/>
      <c r="PGL166" s="35"/>
      <c r="PGM166" s="35"/>
      <c r="PQH166" s="35"/>
      <c r="PQI166" s="35"/>
      <c r="QAD166" s="35"/>
      <c r="QAE166" s="35"/>
      <c r="QJZ166" s="35"/>
      <c r="QKA166" s="35"/>
      <c r="QTV166" s="35"/>
      <c r="QTW166" s="35"/>
      <c r="RDR166" s="35"/>
      <c r="RDS166" s="35"/>
      <c r="RNN166" s="35"/>
      <c r="RNO166" s="35"/>
      <c r="RXJ166" s="35"/>
      <c r="RXK166" s="35"/>
      <c r="SHF166" s="35"/>
      <c r="SHG166" s="35"/>
      <c r="SRB166" s="35"/>
      <c r="SRC166" s="35"/>
      <c r="TAX166" s="35"/>
      <c r="TAY166" s="35"/>
      <c r="TKT166" s="35"/>
      <c r="TKU166" s="35"/>
      <c r="TUP166" s="35"/>
      <c r="TUQ166" s="35"/>
      <c r="UEL166" s="35"/>
      <c r="UEM166" s="35"/>
      <c r="UOH166" s="35"/>
      <c r="UOI166" s="35"/>
      <c r="UYD166" s="35"/>
      <c r="UYE166" s="35"/>
      <c r="VHZ166" s="35"/>
      <c r="VIA166" s="35"/>
      <c r="VRV166" s="35"/>
      <c r="VRW166" s="35"/>
      <c r="WBR166" s="35"/>
      <c r="WBS166" s="35"/>
      <c r="WLN166" s="35"/>
      <c r="WLO166" s="35"/>
      <c r="WVJ166" s="35"/>
      <c r="WVK166" s="35"/>
    </row>
    <row r="167" spans="1:771 1026:1795 2050:2819 3074:3843 4098:4867 5122:5891 6146:6915 7170:7939 8194:8963 9218:9987 10242:11011 11266:12035 12290:13059 13314:14083 14338:15107 15362:16131" s="35" customFormat="1" ht="55.2" x14ac:dyDescent="0.3">
      <c r="A167" s="28">
        <v>14</v>
      </c>
      <c r="B167" s="29" t="s">
        <v>166</v>
      </c>
      <c r="C167" s="30" t="s">
        <v>178</v>
      </c>
      <c r="D167" s="31" t="s">
        <v>13</v>
      </c>
      <c r="E167" s="32">
        <v>8</v>
      </c>
      <c r="F167" s="33"/>
      <c r="G167" s="33"/>
      <c r="H167" s="34" t="s">
        <v>174</v>
      </c>
    </row>
    <row r="168" spans="1:771 1026:1795 2050:2819 3074:3843 4098:4867 5122:5891 6146:6915 7170:7939 8194:8963 9218:9987 10242:11011 11266:12035 12290:13059 13314:14083 14338:15107 15362:16131" s="35" customFormat="1" ht="31.2" x14ac:dyDescent="0.3">
      <c r="A168" s="36"/>
      <c r="B168" s="37" t="s">
        <v>167</v>
      </c>
      <c r="C168" s="38" t="s">
        <v>14</v>
      </c>
      <c r="D168" s="39"/>
      <c r="E168" s="44"/>
      <c r="F168" s="40"/>
      <c r="G168" s="41">
        <f>SUM(G169)</f>
        <v>155832000</v>
      </c>
      <c r="H168" s="42"/>
    </row>
    <row r="169" spans="1:771 1026:1795 2050:2819 3074:3843 4098:4867 5122:5891 6146:6915 7170:7939 8194:8963 9218:9987 10242:11011 11266:12035 12290:13059 13314:14083 14338:15107 15362:16131" s="35" customFormat="1" ht="18.600000000000001" x14ac:dyDescent="0.3">
      <c r="A169" s="36"/>
      <c r="B169" s="37" t="s">
        <v>168</v>
      </c>
      <c r="C169" s="48" t="s">
        <v>38</v>
      </c>
      <c r="D169" s="39" t="s">
        <v>13</v>
      </c>
      <c r="E169" s="44">
        <v>8</v>
      </c>
      <c r="F169" s="161">
        <v>19479000</v>
      </c>
      <c r="G169" s="40">
        <f>E169*F169</f>
        <v>155832000</v>
      </c>
      <c r="H169" s="42"/>
    </row>
    <row r="170" spans="1:771 1026:1795 2050:2819 3074:3843 4098:4867 5122:5891 6146:6915 7170:7939 8194:8963 9218:9987 10242:11011 11266:12035 12290:13059 13314:14083 14338:15107 15362:16131" s="35" customFormat="1" x14ac:dyDescent="0.3">
      <c r="A170" s="36"/>
      <c r="B170" s="64" t="s">
        <v>170</v>
      </c>
      <c r="C170" s="47" t="s">
        <v>35</v>
      </c>
      <c r="D170" s="39"/>
      <c r="E170" s="44"/>
      <c r="F170" s="40"/>
      <c r="G170" s="41">
        <f>SUM(G171:G172)</f>
        <v>17503552</v>
      </c>
      <c r="H170" s="42"/>
    </row>
    <row r="171" spans="1:771 1026:1795 2050:2819 3074:3843 4098:4867 5122:5891 6146:6915 7170:7939 8194:8963 9218:9987 10242:11011 11266:12035 12290:13059 13314:14083 14338:15107 15362:16131" s="35" customFormat="1" ht="62.4" x14ac:dyDescent="0.3">
      <c r="A171" s="36"/>
      <c r="B171" s="37" t="s">
        <v>171</v>
      </c>
      <c r="C171" s="48" t="s">
        <v>175</v>
      </c>
      <c r="D171" s="39" t="s">
        <v>13</v>
      </c>
      <c r="E171" s="44">
        <f>2*4.07</f>
        <v>8.14</v>
      </c>
      <c r="F171" s="40">
        <f>3592000*40%</f>
        <v>1436800</v>
      </c>
      <c r="G171" s="40">
        <f>E171*F171</f>
        <v>11695552</v>
      </c>
      <c r="H171" s="42" t="s">
        <v>2381</v>
      </c>
    </row>
    <row r="172" spans="1:771 1026:1795 2050:2819 3074:3843 4098:4867 5122:5891 6146:6915 7170:7939 8194:8963 9218:9987 10242:11011 11266:12035 12290:13059 13314:14083 14338:15107 15362:16131" s="35" customFormat="1" x14ac:dyDescent="0.3">
      <c r="A172" s="36"/>
      <c r="B172" s="37" t="s">
        <v>172</v>
      </c>
      <c r="C172" s="48" t="s">
        <v>2354</v>
      </c>
      <c r="D172" s="39" t="s">
        <v>106</v>
      </c>
      <c r="E172" s="44">
        <v>1</v>
      </c>
      <c r="F172" s="40">
        <f>2976000+(236000*12)</f>
        <v>5808000</v>
      </c>
      <c r="G172" s="40">
        <f>E172*F172</f>
        <v>5808000</v>
      </c>
      <c r="H172" s="42"/>
    </row>
    <row r="173" spans="1:771 1026:1795 2050:2819 3074:3843 4098:4867 5122:5891 6146:6915 7170:7939 8194:8963 9218:9987 10242:11011 11266:12035 12290:13059 13314:14083 14338:15107 15362:16131" s="35" customFormat="1" ht="78" x14ac:dyDescent="0.3">
      <c r="A173" s="36"/>
      <c r="B173" s="46" t="s">
        <v>173</v>
      </c>
      <c r="C173" s="48"/>
      <c r="D173" s="39"/>
      <c r="E173" s="44"/>
      <c r="F173" s="40"/>
      <c r="G173" s="40"/>
      <c r="H173" s="52"/>
    </row>
    <row r="174" spans="1:771 1026:1795 2050:2819 3074:3843 4098:4867 5122:5891 6146:6915 7170:7939 8194:8963 9218:9987 10242:11011 11266:12035 12290:13059 13314:14083 14338:15107 15362:16131" s="35" customFormat="1" ht="65.400000000000006" thickBot="1" x14ac:dyDescent="0.35">
      <c r="A174" s="53"/>
      <c r="B174" s="50" t="s">
        <v>169</v>
      </c>
      <c r="C174" s="55" t="s">
        <v>2331</v>
      </c>
      <c r="D174" s="56"/>
      <c r="E174" s="5"/>
      <c r="F174" s="6"/>
      <c r="G174" s="57"/>
      <c r="H174" s="68"/>
    </row>
    <row r="175" spans="1:771 1026:1795 2050:2819 3074:3843 4098:4867 5122:5891 6146:6915 7170:7939 8194:8963 9218:9987 10242:11011 11266:12035 12290:13059 13314:14083 14338:15107 15362:16131" s="59" customFormat="1" ht="31.8" thickBot="1" x14ac:dyDescent="0.35">
      <c r="A175" s="154"/>
      <c r="B175" s="155" t="s">
        <v>26</v>
      </c>
      <c r="C175" s="156"/>
      <c r="D175" s="154"/>
      <c r="E175" s="157"/>
      <c r="F175" s="158"/>
      <c r="G175" s="159">
        <f>SUM(G167:G174)/2</f>
        <v>173335552</v>
      </c>
      <c r="H175" s="160"/>
      <c r="IX175" s="35"/>
      <c r="IY175" s="35"/>
      <c r="ST175" s="35"/>
      <c r="SU175" s="35"/>
      <c r="ACP175" s="35"/>
      <c r="ACQ175" s="35"/>
      <c r="AML175" s="35"/>
      <c r="AMM175" s="35"/>
      <c r="AWH175" s="35"/>
      <c r="AWI175" s="35"/>
      <c r="BGD175" s="35"/>
      <c r="BGE175" s="35"/>
      <c r="BPZ175" s="35"/>
      <c r="BQA175" s="35"/>
      <c r="BZV175" s="35"/>
      <c r="BZW175" s="35"/>
      <c r="CJR175" s="35"/>
      <c r="CJS175" s="35"/>
      <c r="CTN175" s="35"/>
      <c r="CTO175" s="35"/>
      <c r="DDJ175" s="35"/>
      <c r="DDK175" s="35"/>
      <c r="DNF175" s="35"/>
      <c r="DNG175" s="35"/>
      <c r="DXB175" s="35"/>
      <c r="DXC175" s="35"/>
      <c r="EGX175" s="35"/>
      <c r="EGY175" s="35"/>
      <c r="EQT175" s="35"/>
      <c r="EQU175" s="35"/>
      <c r="FAP175" s="35"/>
      <c r="FAQ175" s="35"/>
      <c r="FKL175" s="35"/>
      <c r="FKM175" s="35"/>
      <c r="FUH175" s="35"/>
      <c r="FUI175" s="35"/>
      <c r="GED175" s="35"/>
      <c r="GEE175" s="35"/>
      <c r="GNZ175" s="35"/>
      <c r="GOA175" s="35"/>
      <c r="GXV175" s="35"/>
      <c r="GXW175" s="35"/>
      <c r="HHR175" s="35"/>
      <c r="HHS175" s="35"/>
      <c r="HRN175" s="35"/>
      <c r="HRO175" s="35"/>
      <c r="IBJ175" s="35"/>
      <c r="IBK175" s="35"/>
      <c r="ILF175" s="35"/>
      <c r="ILG175" s="35"/>
      <c r="IVB175" s="35"/>
      <c r="IVC175" s="35"/>
      <c r="JEX175" s="35"/>
      <c r="JEY175" s="35"/>
      <c r="JOT175" s="35"/>
      <c r="JOU175" s="35"/>
      <c r="JYP175" s="35"/>
      <c r="JYQ175" s="35"/>
      <c r="KIL175" s="35"/>
      <c r="KIM175" s="35"/>
      <c r="KSH175" s="35"/>
      <c r="KSI175" s="35"/>
      <c r="LCD175" s="35"/>
      <c r="LCE175" s="35"/>
      <c r="LLZ175" s="35"/>
      <c r="LMA175" s="35"/>
      <c r="LVV175" s="35"/>
      <c r="LVW175" s="35"/>
      <c r="MFR175" s="35"/>
      <c r="MFS175" s="35"/>
      <c r="MPN175" s="35"/>
      <c r="MPO175" s="35"/>
      <c r="MZJ175" s="35"/>
      <c r="MZK175" s="35"/>
      <c r="NJF175" s="35"/>
      <c r="NJG175" s="35"/>
      <c r="NTB175" s="35"/>
      <c r="NTC175" s="35"/>
      <c r="OCX175" s="35"/>
      <c r="OCY175" s="35"/>
      <c r="OMT175" s="35"/>
      <c r="OMU175" s="35"/>
      <c r="OWP175" s="35"/>
      <c r="OWQ175" s="35"/>
      <c r="PGL175" s="35"/>
      <c r="PGM175" s="35"/>
      <c r="PQH175" s="35"/>
      <c r="PQI175" s="35"/>
      <c r="QAD175" s="35"/>
      <c r="QAE175" s="35"/>
      <c r="QJZ175" s="35"/>
      <c r="QKA175" s="35"/>
      <c r="QTV175" s="35"/>
      <c r="QTW175" s="35"/>
      <c r="RDR175" s="35"/>
      <c r="RDS175" s="35"/>
      <c r="RNN175" s="35"/>
      <c r="RNO175" s="35"/>
      <c r="RXJ175" s="35"/>
      <c r="RXK175" s="35"/>
      <c r="SHF175" s="35"/>
      <c r="SHG175" s="35"/>
      <c r="SRB175" s="35"/>
      <c r="SRC175" s="35"/>
      <c r="TAX175" s="35"/>
      <c r="TAY175" s="35"/>
      <c r="TKT175" s="35"/>
      <c r="TKU175" s="35"/>
      <c r="TUP175" s="35"/>
      <c r="TUQ175" s="35"/>
      <c r="UEL175" s="35"/>
      <c r="UEM175" s="35"/>
      <c r="UOH175" s="35"/>
      <c r="UOI175" s="35"/>
      <c r="UYD175" s="35"/>
      <c r="UYE175" s="35"/>
      <c r="VHZ175" s="35"/>
      <c r="VIA175" s="35"/>
      <c r="VRV175" s="35"/>
      <c r="VRW175" s="35"/>
      <c r="WBR175" s="35"/>
      <c r="WBS175" s="35"/>
      <c r="WLN175" s="35"/>
      <c r="WLO175" s="35"/>
      <c r="WVJ175" s="35"/>
      <c r="WVK175" s="35"/>
    </row>
    <row r="176" spans="1:771 1026:1795 2050:2819 3074:3843 4098:4867 5122:5891 6146:6915 7170:7939 8194:8963 9218:9987 10242:11011 11266:12035 12290:13059 13314:14083 14338:15107 15362:16131" s="35" customFormat="1" ht="55.2" x14ac:dyDescent="0.3">
      <c r="A176" s="28">
        <v>15</v>
      </c>
      <c r="B176" s="60" t="s">
        <v>2149</v>
      </c>
      <c r="C176" s="30" t="s">
        <v>199</v>
      </c>
      <c r="D176" s="31" t="s">
        <v>13</v>
      </c>
      <c r="E176" s="32">
        <v>29.9</v>
      </c>
      <c r="F176" s="33"/>
      <c r="G176" s="33"/>
      <c r="H176" s="34" t="s">
        <v>198</v>
      </c>
    </row>
    <row r="177" spans="1:8" s="35" customFormat="1" x14ac:dyDescent="0.3">
      <c r="A177" s="36"/>
      <c r="B177" s="37" t="s">
        <v>180</v>
      </c>
      <c r="C177" s="38" t="s">
        <v>14</v>
      </c>
      <c r="D177" s="39"/>
      <c r="E177" s="44"/>
      <c r="F177" s="40"/>
      <c r="G177" s="41">
        <f>SUM(G178)</f>
        <v>582422100</v>
      </c>
      <c r="H177" s="42"/>
    </row>
    <row r="178" spans="1:8" s="35" customFormat="1" ht="18.600000000000001" x14ac:dyDescent="0.3">
      <c r="A178" s="36"/>
      <c r="B178" s="37" t="s">
        <v>181</v>
      </c>
      <c r="C178" s="48" t="s">
        <v>38</v>
      </c>
      <c r="D178" s="39" t="s">
        <v>13</v>
      </c>
      <c r="E178" s="44">
        <v>29.9</v>
      </c>
      <c r="F178" s="161">
        <v>19479000</v>
      </c>
      <c r="G178" s="40">
        <f>E178*F178</f>
        <v>582422100</v>
      </c>
      <c r="H178" s="42"/>
    </row>
    <row r="179" spans="1:8" s="35" customFormat="1" ht="78" x14ac:dyDescent="0.3">
      <c r="A179" s="36"/>
      <c r="B179" s="46" t="s">
        <v>182</v>
      </c>
      <c r="C179" s="47" t="s">
        <v>35</v>
      </c>
      <c r="D179" s="39"/>
      <c r="E179" s="44"/>
      <c r="F179" s="40"/>
      <c r="G179" s="41">
        <f>SUM(G180:G184)</f>
        <v>2131456</v>
      </c>
      <c r="H179" s="45"/>
    </row>
    <row r="180" spans="1:8" s="35" customFormat="1" ht="93.6" x14ac:dyDescent="0.3">
      <c r="A180" s="36"/>
      <c r="B180" s="50" t="s">
        <v>183</v>
      </c>
      <c r="C180" s="48" t="s">
        <v>184</v>
      </c>
      <c r="D180" s="39" t="s">
        <v>13</v>
      </c>
      <c r="E180" s="44"/>
      <c r="F180" s="40"/>
      <c r="G180" s="40"/>
      <c r="H180" s="42" t="s">
        <v>2382</v>
      </c>
    </row>
    <row r="181" spans="1:8" s="35" customFormat="1" x14ac:dyDescent="0.3">
      <c r="A181" s="36"/>
      <c r="B181" s="46"/>
      <c r="C181" s="48" t="s">
        <v>15</v>
      </c>
      <c r="D181" s="39"/>
      <c r="E181" s="44"/>
      <c r="F181" s="40"/>
      <c r="G181" s="40"/>
      <c r="H181" s="52"/>
    </row>
    <row r="182" spans="1:8" s="35" customFormat="1" ht="31.2" x14ac:dyDescent="0.3">
      <c r="A182" s="36"/>
      <c r="B182" s="46"/>
      <c r="C182" s="48" t="s">
        <v>185</v>
      </c>
      <c r="D182" s="39" t="s">
        <v>13</v>
      </c>
      <c r="E182" s="44">
        <f>(0.5+0.3)*4.2*0.5</f>
        <v>1.6800000000000002</v>
      </c>
      <c r="F182" s="40">
        <f>3592000*10%</f>
        <v>359200</v>
      </c>
      <c r="G182" s="40">
        <f>E182*F182</f>
        <v>603456</v>
      </c>
      <c r="H182" s="52" t="s">
        <v>2148</v>
      </c>
    </row>
    <row r="183" spans="1:8" s="35" customFormat="1" ht="18.600000000000001" x14ac:dyDescent="0.3">
      <c r="A183" s="36"/>
      <c r="B183" s="46"/>
      <c r="C183" s="48" t="s">
        <v>189</v>
      </c>
      <c r="D183" s="39" t="s">
        <v>104</v>
      </c>
      <c r="E183" s="44">
        <f>2*1.7*0.1</f>
        <v>0.34</v>
      </c>
      <c r="F183" s="40">
        <v>1421000</v>
      </c>
      <c r="G183" s="40">
        <v>1421000</v>
      </c>
      <c r="H183" s="69"/>
    </row>
    <row r="184" spans="1:8" s="35" customFormat="1" ht="18.600000000000001" x14ac:dyDescent="0.3">
      <c r="A184" s="36"/>
      <c r="B184" s="46"/>
      <c r="C184" s="48" t="s">
        <v>190</v>
      </c>
      <c r="D184" s="39" t="s">
        <v>13</v>
      </c>
      <c r="E184" s="44">
        <f>2*1.7*2</f>
        <v>6.8</v>
      </c>
      <c r="F184" s="40"/>
      <c r="G184" s="40">
        <v>107000</v>
      </c>
      <c r="H184" s="69"/>
    </row>
    <row r="185" spans="1:8" s="35" customFormat="1" x14ac:dyDescent="0.3">
      <c r="A185" s="36"/>
      <c r="B185" s="46"/>
      <c r="C185" s="51" t="s">
        <v>20</v>
      </c>
      <c r="D185" s="39"/>
      <c r="E185" s="44"/>
      <c r="F185" s="40"/>
      <c r="G185" s="41">
        <f>SUM(G186:G192)</f>
        <v>530000</v>
      </c>
      <c r="H185" s="52"/>
    </row>
    <row r="186" spans="1:8" s="35" customFormat="1" x14ac:dyDescent="0.3">
      <c r="A186" s="36"/>
      <c r="B186" s="46"/>
      <c r="C186" s="50" t="s">
        <v>191</v>
      </c>
      <c r="D186" s="39" t="s">
        <v>21</v>
      </c>
      <c r="E186" s="44">
        <v>1</v>
      </c>
      <c r="F186" s="40">
        <v>80000</v>
      </c>
      <c r="G186" s="40">
        <f t="shared" ref="G186:G192" si="2">E186*F186</f>
        <v>80000</v>
      </c>
      <c r="H186" s="52"/>
    </row>
    <row r="187" spans="1:8" s="35" customFormat="1" x14ac:dyDescent="0.3">
      <c r="A187" s="36"/>
      <c r="B187" s="46"/>
      <c r="C187" s="50" t="s">
        <v>192</v>
      </c>
      <c r="D187" s="39" t="s">
        <v>21</v>
      </c>
      <c r="E187" s="44">
        <v>1</v>
      </c>
      <c r="F187" s="40">
        <v>60000</v>
      </c>
      <c r="G187" s="40">
        <f t="shared" si="2"/>
        <v>60000</v>
      </c>
      <c r="H187" s="52"/>
    </row>
    <row r="188" spans="1:8" s="35" customFormat="1" x14ac:dyDescent="0.3">
      <c r="A188" s="36"/>
      <c r="B188" s="46"/>
      <c r="C188" s="50" t="s">
        <v>193</v>
      </c>
      <c r="D188" s="39" t="s">
        <v>21</v>
      </c>
      <c r="E188" s="44">
        <v>1</v>
      </c>
      <c r="F188" s="40">
        <v>80000</v>
      </c>
      <c r="G188" s="40">
        <f t="shared" si="2"/>
        <v>80000</v>
      </c>
      <c r="H188" s="52"/>
    </row>
    <row r="189" spans="1:8" s="35" customFormat="1" ht="18.600000000000001" x14ac:dyDescent="0.3">
      <c r="A189" s="36"/>
      <c r="B189" s="46"/>
      <c r="C189" s="50" t="s">
        <v>194</v>
      </c>
      <c r="D189" s="39" t="s">
        <v>13</v>
      </c>
      <c r="E189" s="44">
        <v>5</v>
      </c>
      <c r="F189" s="40">
        <v>30000</v>
      </c>
      <c r="G189" s="40">
        <f t="shared" si="2"/>
        <v>150000</v>
      </c>
      <c r="H189" s="52"/>
    </row>
    <row r="190" spans="1:8" s="35" customFormat="1" x14ac:dyDescent="0.3">
      <c r="A190" s="36"/>
      <c r="B190" s="46"/>
      <c r="C190" s="50" t="s">
        <v>195</v>
      </c>
      <c r="D190" s="39" t="s">
        <v>22</v>
      </c>
      <c r="E190" s="44">
        <v>1</v>
      </c>
      <c r="F190" s="40">
        <v>40000</v>
      </c>
      <c r="G190" s="40">
        <f t="shared" si="2"/>
        <v>40000</v>
      </c>
      <c r="H190" s="52"/>
    </row>
    <row r="191" spans="1:8" s="35" customFormat="1" x14ac:dyDescent="0.3">
      <c r="A191" s="36"/>
      <c r="B191" s="46"/>
      <c r="C191" s="50" t="s">
        <v>196</v>
      </c>
      <c r="D191" s="39" t="s">
        <v>22</v>
      </c>
      <c r="E191" s="44">
        <v>4</v>
      </c>
      <c r="F191" s="40">
        <v>20000</v>
      </c>
      <c r="G191" s="40">
        <f t="shared" si="2"/>
        <v>80000</v>
      </c>
      <c r="H191" s="52"/>
    </row>
    <row r="192" spans="1:8" s="35" customFormat="1" x14ac:dyDescent="0.3">
      <c r="A192" s="36"/>
      <c r="B192" s="46"/>
      <c r="C192" s="50" t="s">
        <v>197</v>
      </c>
      <c r="D192" s="39" t="s">
        <v>22</v>
      </c>
      <c r="E192" s="44">
        <v>2</v>
      </c>
      <c r="F192" s="40">
        <v>20000</v>
      </c>
      <c r="G192" s="40">
        <f t="shared" si="2"/>
        <v>40000</v>
      </c>
      <c r="H192" s="52"/>
    </row>
    <row r="193" spans="1:771 1026:1795 2050:2819 3074:3843 4098:4867 5122:5891 6146:6915 7170:7939 8194:8963 9218:9987 10242:11011 11266:12035 12290:13059 13314:14083 14338:15107 15362:16131" s="35" customFormat="1" ht="65.400000000000006" thickBot="1" x14ac:dyDescent="0.35">
      <c r="A193" s="53"/>
      <c r="B193" s="54"/>
      <c r="C193" s="55" t="s">
        <v>2331</v>
      </c>
      <c r="D193" s="56"/>
      <c r="E193" s="5"/>
      <c r="F193" s="6"/>
      <c r="G193" s="57"/>
      <c r="H193" s="58"/>
    </row>
    <row r="194" spans="1:771 1026:1795 2050:2819 3074:3843 4098:4867 5122:5891 6146:6915 7170:7939 8194:8963 9218:9987 10242:11011 11266:12035 12290:13059 13314:14083 14338:15107 15362:16131" s="59" customFormat="1" ht="31.8" thickBot="1" x14ac:dyDescent="0.35">
      <c r="A194" s="154"/>
      <c r="B194" s="155" t="s">
        <v>26</v>
      </c>
      <c r="C194" s="156"/>
      <c r="D194" s="154"/>
      <c r="E194" s="157"/>
      <c r="F194" s="158"/>
      <c r="G194" s="159">
        <f>SUM(G176:G193)/2</f>
        <v>585083556</v>
      </c>
      <c r="H194" s="160"/>
      <c r="IX194" s="35"/>
      <c r="IY194" s="35"/>
      <c r="ST194" s="35"/>
      <c r="SU194" s="35"/>
      <c r="ACP194" s="35"/>
      <c r="ACQ194" s="35"/>
      <c r="AML194" s="35"/>
      <c r="AMM194" s="35"/>
      <c r="AWH194" s="35"/>
      <c r="AWI194" s="35"/>
      <c r="BGD194" s="35"/>
      <c r="BGE194" s="35"/>
      <c r="BPZ194" s="35"/>
      <c r="BQA194" s="35"/>
      <c r="BZV194" s="35"/>
      <c r="BZW194" s="35"/>
      <c r="CJR194" s="35"/>
      <c r="CJS194" s="35"/>
      <c r="CTN194" s="35"/>
      <c r="CTO194" s="35"/>
      <c r="DDJ194" s="35"/>
      <c r="DDK194" s="35"/>
      <c r="DNF194" s="35"/>
      <c r="DNG194" s="35"/>
      <c r="DXB194" s="35"/>
      <c r="DXC194" s="35"/>
      <c r="EGX194" s="35"/>
      <c r="EGY194" s="35"/>
      <c r="EQT194" s="35"/>
      <c r="EQU194" s="35"/>
      <c r="FAP194" s="35"/>
      <c r="FAQ194" s="35"/>
      <c r="FKL194" s="35"/>
      <c r="FKM194" s="35"/>
      <c r="FUH194" s="35"/>
      <c r="FUI194" s="35"/>
      <c r="GED194" s="35"/>
      <c r="GEE194" s="35"/>
      <c r="GNZ194" s="35"/>
      <c r="GOA194" s="35"/>
      <c r="GXV194" s="35"/>
      <c r="GXW194" s="35"/>
      <c r="HHR194" s="35"/>
      <c r="HHS194" s="35"/>
      <c r="HRN194" s="35"/>
      <c r="HRO194" s="35"/>
      <c r="IBJ194" s="35"/>
      <c r="IBK194" s="35"/>
      <c r="ILF194" s="35"/>
      <c r="ILG194" s="35"/>
      <c r="IVB194" s="35"/>
      <c r="IVC194" s="35"/>
      <c r="JEX194" s="35"/>
      <c r="JEY194" s="35"/>
      <c r="JOT194" s="35"/>
      <c r="JOU194" s="35"/>
      <c r="JYP194" s="35"/>
      <c r="JYQ194" s="35"/>
      <c r="KIL194" s="35"/>
      <c r="KIM194" s="35"/>
      <c r="KSH194" s="35"/>
      <c r="KSI194" s="35"/>
      <c r="LCD194" s="35"/>
      <c r="LCE194" s="35"/>
      <c r="LLZ194" s="35"/>
      <c r="LMA194" s="35"/>
      <c r="LVV194" s="35"/>
      <c r="LVW194" s="35"/>
      <c r="MFR194" s="35"/>
      <c r="MFS194" s="35"/>
      <c r="MPN194" s="35"/>
      <c r="MPO194" s="35"/>
      <c r="MZJ194" s="35"/>
      <c r="MZK194" s="35"/>
      <c r="NJF194" s="35"/>
      <c r="NJG194" s="35"/>
      <c r="NTB194" s="35"/>
      <c r="NTC194" s="35"/>
      <c r="OCX194" s="35"/>
      <c r="OCY194" s="35"/>
      <c r="OMT194" s="35"/>
      <c r="OMU194" s="35"/>
      <c r="OWP194" s="35"/>
      <c r="OWQ194" s="35"/>
      <c r="PGL194" s="35"/>
      <c r="PGM194" s="35"/>
      <c r="PQH194" s="35"/>
      <c r="PQI194" s="35"/>
      <c r="QAD194" s="35"/>
      <c r="QAE194" s="35"/>
      <c r="QJZ194" s="35"/>
      <c r="QKA194" s="35"/>
      <c r="QTV194" s="35"/>
      <c r="QTW194" s="35"/>
      <c r="RDR194" s="35"/>
      <c r="RDS194" s="35"/>
      <c r="RNN194" s="35"/>
      <c r="RNO194" s="35"/>
      <c r="RXJ194" s="35"/>
      <c r="RXK194" s="35"/>
      <c r="SHF194" s="35"/>
      <c r="SHG194" s="35"/>
      <c r="SRB194" s="35"/>
      <c r="SRC194" s="35"/>
      <c r="TAX194" s="35"/>
      <c r="TAY194" s="35"/>
      <c r="TKT194" s="35"/>
      <c r="TKU194" s="35"/>
      <c r="TUP194" s="35"/>
      <c r="TUQ194" s="35"/>
      <c r="UEL194" s="35"/>
      <c r="UEM194" s="35"/>
      <c r="UOH194" s="35"/>
      <c r="UOI194" s="35"/>
      <c r="UYD194" s="35"/>
      <c r="UYE194" s="35"/>
      <c r="VHZ194" s="35"/>
      <c r="VIA194" s="35"/>
      <c r="VRV194" s="35"/>
      <c r="VRW194" s="35"/>
      <c r="WBR194" s="35"/>
      <c r="WBS194" s="35"/>
      <c r="WLN194" s="35"/>
      <c r="WLO194" s="35"/>
      <c r="WVJ194" s="35"/>
      <c r="WVK194" s="35"/>
    </row>
    <row r="195" spans="1:771 1026:1795 2050:2819 3074:3843 4098:4867 5122:5891 6146:6915 7170:7939 8194:8963 9218:9987 10242:11011 11266:12035 12290:13059 13314:14083 14338:15107 15362:16131" s="35" customFormat="1" ht="55.2" x14ac:dyDescent="0.3">
      <c r="A195" s="28">
        <v>16</v>
      </c>
      <c r="B195" s="29" t="s">
        <v>200</v>
      </c>
      <c r="C195" s="30" t="s">
        <v>206</v>
      </c>
      <c r="D195" s="31" t="s">
        <v>13</v>
      </c>
      <c r="E195" s="32">
        <v>13.5</v>
      </c>
      <c r="F195" s="33"/>
      <c r="G195" s="33"/>
      <c r="H195" s="34" t="s">
        <v>207</v>
      </c>
    </row>
    <row r="196" spans="1:771 1026:1795 2050:2819 3074:3843 4098:4867 5122:5891 6146:6915 7170:7939 8194:8963 9218:9987 10242:11011 11266:12035 12290:13059 13314:14083 14338:15107 15362:16131" s="35" customFormat="1" ht="41.4" x14ac:dyDescent="0.3">
      <c r="A196" s="36"/>
      <c r="B196" s="37" t="s">
        <v>201</v>
      </c>
      <c r="C196" s="38" t="s">
        <v>14</v>
      </c>
      <c r="D196" s="39"/>
      <c r="E196" s="44"/>
      <c r="F196" s="40"/>
      <c r="G196" s="41">
        <f>SUM(G197)</f>
        <v>140454000</v>
      </c>
      <c r="H196" s="42" t="s">
        <v>107</v>
      </c>
    </row>
    <row r="197" spans="1:771 1026:1795 2050:2819 3074:3843 4098:4867 5122:5891 6146:6915 7170:7939 8194:8963 9218:9987 10242:11011 11266:12035 12290:13059 13314:14083 14338:15107 15362:16131" s="35" customFormat="1" ht="31.2" x14ac:dyDescent="0.3">
      <c r="A197" s="36"/>
      <c r="B197" s="37" t="s">
        <v>202</v>
      </c>
      <c r="C197" s="43" t="s">
        <v>55</v>
      </c>
      <c r="D197" s="39" t="s">
        <v>13</v>
      </c>
      <c r="E197" s="44">
        <v>13.5</v>
      </c>
      <c r="F197" s="153">
        <v>10404000</v>
      </c>
      <c r="G197" s="40">
        <f>E197*F197</f>
        <v>140454000</v>
      </c>
      <c r="H197" s="42"/>
    </row>
    <row r="198" spans="1:771 1026:1795 2050:2819 3074:3843 4098:4867 5122:5891 6146:6915 7170:7939 8194:8963 9218:9987 10242:11011 11266:12035 12290:13059 13314:14083 14338:15107 15362:16131" s="35" customFormat="1" x14ac:dyDescent="0.3">
      <c r="A198" s="36"/>
      <c r="B198" s="70" t="s">
        <v>203</v>
      </c>
      <c r="C198" s="47" t="s">
        <v>35</v>
      </c>
      <c r="D198" s="39"/>
      <c r="E198" s="44"/>
      <c r="F198" s="40"/>
      <c r="G198" s="41">
        <f>SUM(G199:G207)</f>
        <v>0</v>
      </c>
      <c r="H198" s="45"/>
    </row>
    <row r="199" spans="1:771 1026:1795 2050:2819 3074:3843 4098:4867 5122:5891 6146:6915 7170:7939 8194:8963 9218:9987 10242:11011 11266:12035 12290:13059 13314:14083 14338:15107 15362:16131" s="35" customFormat="1" ht="109.2" x14ac:dyDescent="0.3">
      <c r="A199" s="36"/>
      <c r="B199" s="37" t="s">
        <v>205</v>
      </c>
      <c r="C199" s="48" t="s">
        <v>208</v>
      </c>
      <c r="D199" s="39" t="s">
        <v>13</v>
      </c>
      <c r="E199" s="44"/>
      <c r="F199" s="40"/>
      <c r="G199" s="40">
        <f t="shared" ref="G199:G207" si="3">E199*F199</f>
        <v>0</v>
      </c>
      <c r="H199" s="52" t="s">
        <v>179</v>
      </c>
    </row>
    <row r="200" spans="1:771 1026:1795 2050:2819 3074:3843 4098:4867 5122:5891 6146:6915 7170:7939 8194:8963 9218:9987 10242:11011 11266:12035 12290:13059 13314:14083 14338:15107 15362:16131" s="35" customFormat="1" x14ac:dyDescent="0.3">
      <c r="A200" s="36"/>
      <c r="B200" s="37" t="s">
        <v>204</v>
      </c>
      <c r="C200" s="48" t="s">
        <v>15</v>
      </c>
      <c r="D200" s="39"/>
      <c r="E200" s="44"/>
      <c r="F200" s="40"/>
      <c r="G200" s="40">
        <f t="shared" si="3"/>
        <v>0</v>
      </c>
      <c r="H200" s="52" t="s">
        <v>179</v>
      </c>
    </row>
    <row r="201" spans="1:771 1026:1795 2050:2819 3074:3843 4098:4867 5122:5891 6146:6915 7170:7939 8194:8963 9218:9987 10242:11011 11266:12035 12290:13059 13314:14083 14338:15107 15362:16131" s="35" customFormat="1" ht="18.600000000000001" x14ac:dyDescent="0.3">
      <c r="A201" s="36"/>
      <c r="B201" s="50" t="s">
        <v>67</v>
      </c>
      <c r="C201" s="48" t="s">
        <v>209</v>
      </c>
      <c r="D201" s="39" t="s">
        <v>13</v>
      </c>
      <c r="E201" s="44">
        <f>(0.8+0.62)*3.6*0.5</f>
        <v>2.556</v>
      </c>
      <c r="F201" s="40">
        <v>0</v>
      </c>
      <c r="G201" s="40">
        <f t="shared" si="3"/>
        <v>0</v>
      </c>
      <c r="H201" s="52" t="s">
        <v>179</v>
      </c>
    </row>
    <row r="202" spans="1:771 1026:1795 2050:2819 3074:3843 4098:4867 5122:5891 6146:6915 7170:7939 8194:8963 9218:9987 10242:11011 11266:12035 12290:13059 13314:14083 14338:15107 15362:16131" s="35" customFormat="1" ht="18.600000000000001" x14ac:dyDescent="0.3">
      <c r="A202" s="36"/>
      <c r="B202" s="37"/>
      <c r="C202" s="48" t="s">
        <v>161</v>
      </c>
      <c r="D202" s="39" t="s">
        <v>13</v>
      </c>
      <c r="E202" s="44">
        <f>(3.6*3.4)</f>
        <v>12.24</v>
      </c>
      <c r="F202" s="40"/>
      <c r="G202" s="40">
        <f t="shared" si="3"/>
        <v>0</v>
      </c>
      <c r="H202" s="52" t="s">
        <v>179</v>
      </c>
    </row>
    <row r="203" spans="1:771 1026:1795 2050:2819 3074:3843 4098:4867 5122:5891 6146:6915 7170:7939 8194:8963 9218:9987 10242:11011 11266:12035 12290:13059 13314:14083 14338:15107 15362:16131" s="35" customFormat="1" ht="46.8" x14ac:dyDescent="0.3">
      <c r="A203" s="36"/>
      <c r="B203" s="37"/>
      <c r="C203" s="48" t="s">
        <v>210</v>
      </c>
      <c r="D203" s="39" t="s">
        <v>13</v>
      </c>
      <c r="E203" s="44">
        <f>4.38+10.924+19.404</f>
        <v>34.707999999999998</v>
      </c>
      <c r="F203" s="40"/>
      <c r="G203" s="40">
        <f t="shared" si="3"/>
        <v>0</v>
      </c>
      <c r="H203" s="52" t="s">
        <v>179</v>
      </c>
    </row>
    <row r="204" spans="1:771 1026:1795 2050:2819 3074:3843 4098:4867 5122:5891 6146:6915 7170:7939 8194:8963 9218:9987 10242:11011 11266:12035 12290:13059 13314:14083 14338:15107 15362:16131" s="35" customFormat="1" x14ac:dyDescent="0.3">
      <c r="A204" s="36"/>
      <c r="B204" s="46"/>
      <c r="C204" s="48" t="s">
        <v>15</v>
      </c>
      <c r="D204" s="39"/>
      <c r="E204" s="44"/>
      <c r="F204" s="40"/>
      <c r="G204" s="40">
        <f t="shared" si="3"/>
        <v>0</v>
      </c>
      <c r="H204" s="52" t="s">
        <v>179</v>
      </c>
    </row>
    <row r="205" spans="1:771 1026:1795 2050:2819 3074:3843 4098:4867 5122:5891 6146:6915 7170:7939 8194:8963 9218:9987 10242:11011 11266:12035 12290:13059 13314:14083 14338:15107 15362:16131" s="35" customFormat="1" ht="31.2" x14ac:dyDescent="0.3">
      <c r="A205" s="36"/>
      <c r="B205" s="46"/>
      <c r="C205" s="43" t="s">
        <v>176</v>
      </c>
      <c r="D205" s="39" t="s">
        <v>13</v>
      </c>
      <c r="E205" s="44">
        <f>(0.65+0.65)*6.74*0.5</f>
        <v>4.3810000000000002</v>
      </c>
      <c r="F205" s="40">
        <v>0</v>
      </c>
      <c r="G205" s="40">
        <f t="shared" si="3"/>
        <v>0</v>
      </c>
      <c r="H205" s="52" t="s">
        <v>179</v>
      </c>
    </row>
    <row r="206" spans="1:771 1026:1795 2050:2819 3074:3843 4098:4867 5122:5891 6146:6915 7170:7939 8194:8963 9218:9987 10242:11011 11266:12035 12290:13059 13314:14083 14338:15107 15362:16131" s="35" customFormat="1" ht="31.2" x14ac:dyDescent="0.3">
      <c r="A206" s="36"/>
      <c r="B206" s="46"/>
      <c r="C206" s="66" t="s">
        <v>177</v>
      </c>
      <c r="D206" s="39" t="s">
        <v>13</v>
      </c>
      <c r="E206" s="44">
        <f>(4*6.74*0.5)-((0.8+0.62)*3.6*0.5)</f>
        <v>10.923999999999999</v>
      </c>
      <c r="F206" s="40">
        <v>0</v>
      </c>
      <c r="G206" s="40">
        <f t="shared" si="3"/>
        <v>0</v>
      </c>
      <c r="H206" s="52" t="s">
        <v>179</v>
      </c>
    </row>
    <row r="207" spans="1:771 1026:1795 2050:2819 3074:3843 4098:4867 5122:5891 6146:6915 7170:7939 8194:8963 9218:9987 10242:11011 11266:12035 12290:13059 13314:14083 14338:15107 15362:16131" s="35" customFormat="1" ht="31.2" x14ac:dyDescent="0.3">
      <c r="A207" s="36"/>
      <c r="B207" s="46"/>
      <c r="C207" s="66" t="s">
        <v>211</v>
      </c>
      <c r="D207" s="39" t="s">
        <v>13</v>
      </c>
      <c r="E207" s="44">
        <f>(3.2*(5.3-2-0.65))+10.924</f>
        <v>19.404</v>
      </c>
      <c r="F207" s="40"/>
      <c r="G207" s="40">
        <f t="shared" si="3"/>
        <v>0</v>
      </c>
      <c r="H207" s="52" t="s">
        <v>179</v>
      </c>
    </row>
    <row r="208" spans="1:771 1026:1795 2050:2819 3074:3843 4098:4867 5122:5891 6146:6915 7170:7939 8194:8963 9218:9987 10242:11011 11266:12035 12290:13059 13314:14083 14338:15107 15362:16131" s="35" customFormat="1" x14ac:dyDescent="0.3">
      <c r="A208" s="36"/>
      <c r="B208" s="46"/>
      <c r="C208" s="51" t="s">
        <v>23</v>
      </c>
      <c r="D208" s="39"/>
      <c r="E208" s="1"/>
      <c r="F208" s="2"/>
      <c r="G208" s="41">
        <f>SUM(G209)</f>
        <v>6120000</v>
      </c>
      <c r="H208" s="52"/>
    </row>
    <row r="209" spans="1:771 1026:1795 2050:2819 3074:3843 4098:4867 5122:5891 6146:6915 7170:7939 8194:8963 9218:9987 10242:11011 11266:12035 12290:13059 13314:14083 14338:15107 15362:16131" s="35" customFormat="1" x14ac:dyDescent="0.3">
      <c r="A209" s="36"/>
      <c r="B209" s="46"/>
      <c r="C209" s="50" t="s">
        <v>24</v>
      </c>
      <c r="D209" s="39" t="s">
        <v>25</v>
      </c>
      <c r="E209" s="1">
        <f>2*30*6</f>
        <v>360</v>
      </c>
      <c r="F209" s="2">
        <v>17000</v>
      </c>
      <c r="G209" s="40">
        <f>E209*F209</f>
        <v>6120000</v>
      </c>
      <c r="H209" s="42"/>
    </row>
    <row r="210" spans="1:771 1026:1795 2050:2819 3074:3843 4098:4867 5122:5891 6146:6915 7170:7939 8194:8963 9218:9987 10242:11011 11266:12035 12290:13059 13314:14083 14338:15107 15362:16131" s="35" customFormat="1" ht="65.400000000000006" thickBot="1" x14ac:dyDescent="0.35">
      <c r="A210" s="53"/>
      <c r="B210" s="54"/>
      <c r="C210" s="55" t="s">
        <v>2331</v>
      </c>
      <c r="D210" s="56"/>
      <c r="E210" s="5"/>
      <c r="F210" s="6"/>
      <c r="G210" s="57"/>
      <c r="H210" s="58"/>
    </row>
    <row r="211" spans="1:771 1026:1795 2050:2819 3074:3843 4098:4867 5122:5891 6146:6915 7170:7939 8194:8963 9218:9987 10242:11011 11266:12035 12290:13059 13314:14083 14338:15107 15362:16131" s="59" customFormat="1" ht="31.8" thickBot="1" x14ac:dyDescent="0.35">
      <c r="A211" s="154"/>
      <c r="B211" s="155" t="s">
        <v>26</v>
      </c>
      <c r="C211" s="156"/>
      <c r="D211" s="154"/>
      <c r="E211" s="157"/>
      <c r="F211" s="158"/>
      <c r="G211" s="159">
        <f>SUM(G195:G210)/2</f>
        <v>146574000</v>
      </c>
      <c r="H211" s="160"/>
      <c r="IX211" s="35"/>
      <c r="IY211" s="35"/>
      <c r="ST211" s="35"/>
      <c r="SU211" s="35"/>
      <c r="ACP211" s="35"/>
      <c r="ACQ211" s="35"/>
      <c r="AML211" s="35"/>
      <c r="AMM211" s="35"/>
      <c r="AWH211" s="35"/>
      <c r="AWI211" s="35"/>
      <c r="BGD211" s="35"/>
      <c r="BGE211" s="35"/>
      <c r="BPZ211" s="35"/>
      <c r="BQA211" s="35"/>
      <c r="BZV211" s="35"/>
      <c r="BZW211" s="35"/>
      <c r="CJR211" s="35"/>
      <c r="CJS211" s="35"/>
      <c r="CTN211" s="35"/>
      <c r="CTO211" s="35"/>
      <c r="DDJ211" s="35"/>
      <c r="DDK211" s="35"/>
      <c r="DNF211" s="35"/>
      <c r="DNG211" s="35"/>
      <c r="DXB211" s="35"/>
      <c r="DXC211" s="35"/>
      <c r="EGX211" s="35"/>
      <c r="EGY211" s="35"/>
      <c r="EQT211" s="35"/>
      <c r="EQU211" s="35"/>
      <c r="FAP211" s="35"/>
      <c r="FAQ211" s="35"/>
      <c r="FKL211" s="35"/>
      <c r="FKM211" s="35"/>
      <c r="FUH211" s="35"/>
      <c r="FUI211" s="35"/>
      <c r="GED211" s="35"/>
      <c r="GEE211" s="35"/>
      <c r="GNZ211" s="35"/>
      <c r="GOA211" s="35"/>
      <c r="GXV211" s="35"/>
      <c r="GXW211" s="35"/>
      <c r="HHR211" s="35"/>
      <c r="HHS211" s="35"/>
      <c r="HRN211" s="35"/>
      <c r="HRO211" s="35"/>
      <c r="IBJ211" s="35"/>
      <c r="IBK211" s="35"/>
      <c r="ILF211" s="35"/>
      <c r="ILG211" s="35"/>
      <c r="IVB211" s="35"/>
      <c r="IVC211" s="35"/>
      <c r="JEX211" s="35"/>
      <c r="JEY211" s="35"/>
      <c r="JOT211" s="35"/>
      <c r="JOU211" s="35"/>
      <c r="JYP211" s="35"/>
      <c r="JYQ211" s="35"/>
      <c r="KIL211" s="35"/>
      <c r="KIM211" s="35"/>
      <c r="KSH211" s="35"/>
      <c r="KSI211" s="35"/>
      <c r="LCD211" s="35"/>
      <c r="LCE211" s="35"/>
      <c r="LLZ211" s="35"/>
      <c r="LMA211" s="35"/>
      <c r="LVV211" s="35"/>
      <c r="LVW211" s="35"/>
      <c r="MFR211" s="35"/>
      <c r="MFS211" s="35"/>
      <c r="MPN211" s="35"/>
      <c r="MPO211" s="35"/>
      <c r="MZJ211" s="35"/>
      <c r="MZK211" s="35"/>
      <c r="NJF211" s="35"/>
      <c r="NJG211" s="35"/>
      <c r="NTB211" s="35"/>
      <c r="NTC211" s="35"/>
      <c r="OCX211" s="35"/>
      <c r="OCY211" s="35"/>
      <c r="OMT211" s="35"/>
      <c r="OMU211" s="35"/>
      <c r="OWP211" s="35"/>
      <c r="OWQ211" s="35"/>
      <c r="PGL211" s="35"/>
      <c r="PGM211" s="35"/>
      <c r="PQH211" s="35"/>
      <c r="PQI211" s="35"/>
      <c r="QAD211" s="35"/>
      <c r="QAE211" s="35"/>
      <c r="QJZ211" s="35"/>
      <c r="QKA211" s="35"/>
      <c r="QTV211" s="35"/>
      <c r="QTW211" s="35"/>
      <c r="RDR211" s="35"/>
      <c r="RDS211" s="35"/>
      <c r="RNN211" s="35"/>
      <c r="RNO211" s="35"/>
      <c r="RXJ211" s="35"/>
      <c r="RXK211" s="35"/>
      <c r="SHF211" s="35"/>
      <c r="SHG211" s="35"/>
      <c r="SRB211" s="35"/>
      <c r="SRC211" s="35"/>
      <c r="TAX211" s="35"/>
      <c r="TAY211" s="35"/>
      <c r="TKT211" s="35"/>
      <c r="TKU211" s="35"/>
      <c r="TUP211" s="35"/>
      <c r="TUQ211" s="35"/>
      <c r="UEL211" s="35"/>
      <c r="UEM211" s="35"/>
      <c r="UOH211" s="35"/>
      <c r="UOI211" s="35"/>
      <c r="UYD211" s="35"/>
      <c r="UYE211" s="35"/>
      <c r="VHZ211" s="35"/>
      <c r="VIA211" s="35"/>
      <c r="VRV211" s="35"/>
      <c r="VRW211" s="35"/>
      <c r="WBR211" s="35"/>
      <c r="WBS211" s="35"/>
      <c r="WLN211" s="35"/>
      <c r="WLO211" s="35"/>
      <c r="WVJ211" s="35"/>
      <c r="WVK211" s="35"/>
    </row>
    <row r="212" spans="1:771 1026:1795 2050:2819 3074:3843 4098:4867 5122:5891 6146:6915 7170:7939 8194:8963 9218:9987 10242:11011 11266:12035 12290:13059 13314:14083 14338:15107 15362:16131" s="35" customFormat="1" ht="55.2" x14ac:dyDescent="0.3">
      <c r="A212" s="28">
        <v>17</v>
      </c>
      <c r="B212" s="29" t="s">
        <v>212</v>
      </c>
      <c r="C212" s="30" t="s">
        <v>227</v>
      </c>
      <c r="D212" s="31" t="s">
        <v>13</v>
      </c>
      <c r="E212" s="32">
        <v>19</v>
      </c>
      <c r="F212" s="33"/>
      <c r="G212" s="33"/>
      <c r="H212" s="34" t="s">
        <v>229</v>
      </c>
    </row>
    <row r="213" spans="1:771 1026:1795 2050:2819 3074:3843 4098:4867 5122:5891 6146:6915 7170:7939 8194:8963 9218:9987 10242:11011 11266:12035 12290:13059 13314:14083 14338:15107 15362:16131" s="35" customFormat="1" ht="27.6" x14ac:dyDescent="0.3">
      <c r="A213" s="36"/>
      <c r="B213" s="37" t="s">
        <v>213</v>
      </c>
      <c r="C213" s="38" t="s">
        <v>14</v>
      </c>
      <c r="D213" s="39"/>
      <c r="E213" s="44"/>
      <c r="F213" s="40"/>
      <c r="G213" s="41">
        <f>SUM(G214)</f>
        <v>370101000</v>
      </c>
      <c r="H213" s="42" t="s">
        <v>228</v>
      </c>
    </row>
    <row r="214" spans="1:771 1026:1795 2050:2819 3074:3843 4098:4867 5122:5891 6146:6915 7170:7939 8194:8963 9218:9987 10242:11011 11266:12035 12290:13059 13314:14083 14338:15107 15362:16131" s="35" customFormat="1" ht="18.600000000000001" x14ac:dyDescent="0.3">
      <c r="A214" s="36"/>
      <c r="B214" s="37" t="s">
        <v>214</v>
      </c>
      <c r="C214" s="48" t="s">
        <v>38</v>
      </c>
      <c r="D214" s="39" t="s">
        <v>13</v>
      </c>
      <c r="E214" s="44">
        <v>19</v>
      </c>
      <c r="F214" s="161">
        <v>19479000</v>
      </c>
      <c r="G214" s="40">
        <f>E214*F214</f>
        <v>370101000</v>
      </c>
      <c r="H214" s="42"/>
    </row>
    <row r="215" spans="1:771 1026:1795 2050:2819 3074:3843 4098:4867 5122:5891 6146:6915 7170:7939 8194:8963 9218:9987 10242:11011 11266:12035 12290:13059 13314:14083 14338:15107 15362:16131" s="35" customFormat="1" x14ac:dyDescent="0.3">
      <c r="A215" s="36"/>
      <c r="B215" s="64" t="s">
        <v>215</v>
      </c>
      <c r="C215" s="47" t="s">
        <v>35</v>
      </c>
      <c r="D215" s="39"/>
      <c r="E215" s="44"/>
      <c r="F215" s="40"/>
      <c r="G215" s="41">
        <f>SUM(G216)</f>
        <v>67960640</v>
      </c>
      <c r="H215" s="45"/>
    </row>
    <row r="216" spans="1:771 1026:1795 2050:2819 3074:3843 4098:4867 5122:5891 6146:6915 7170:7939 8194:8963 9218:9987 10242:11011 11266:12035 12290:13059 13314:14083 14338:15107 15362:16131" s="35" customFormat="1" ht="62.4" x14ac:dyDescent="0.3">
      <c r="A216" s="36"/>
      <c r="B216" s="37" t="s">
        <v>2311</v>
      </c>
      <c r="C216" s="48" t="s">
        <v>230</v>
      </c>
      <c r="D216" s="39" t="s">
        <v>13</v>
      </c>
      <c r="E216" s="44">
        <f>(4.3*4.4)-E215</f>
        <v>18.920000000000002</v>
      </c>
      <c r="F216" s="40">
        <v>3592000</v>
      </c>
      <c r="G216" s="40">
        <f>E216*F216</f>
        <v>67960640</v>
      </c>
      <c r="H216" s="35" t="s">
        <v>2375</v>
      </c>
    </row>
    <row r="217" spans="1:771 1026:1795 2050:2819 3074:3843 4098:4867 5122:5891 6146:6915 7170:7939 8194:8963 9218:9987 10242:11011 11266:12035 12290:13059 13314:14083 14338:15107 15362:16131" s="35" customFormat="1" ht="78.599999999999994" thickBot="1" x14ac:dyDescent="0.35">
      <c r="A217" s="53"/>
      <c r="B217" s="54" t="s">
        <v>216</v>
      </c>
      <c r="C217" s="55" t="s">
        <v>2331</v>
      </c>
      <c r="D217" s="56"/>
      <c r="E217" s="71"/>
      <c r="F217" s="57"/>
      <c r="G217" s="57"/>
      <c r="H217" s="68"/>
    </row>
    <row r="218" spans="1:771 1026:1795 2050:2819 3074:3843 4098:4867 5122:5891 6146:6915 7170:7939 8194:8963 9218:9987 10242:11011 11266:12035 12290:13059 13314:14083 14338:15107 15362:16131" s="59" customFormat="1" ht="31.8" thickBot="1" x14ac:dyDescent="0.35">
      <c r="A218" s="154"/>
      <c r="B218" s="155" t="s">
        <v>26</v>
      </c>
      <c r="C218" s="156"/>
      <c r="D218" s="154"/>
      <c r="E218" s="157"/>
      <c r="F218" s="158"/>
      <c r="G218" s="159">
        <f>SUM(G212:G217)/2</f>
        <v>438061640</v>
      </c>
      <c r="H218" s="160"/>
      <c r="IX218" s="35"/>
      <c r="IY218" s="35"/>
      <c r="ST218" s="35"/>
      <c r="SU218" s="35"/>
      <c r="ACP218" s="35"/>
      <c r="ACQ218" s="35"/>
      <c r="AML218" s="35"/>
      <c r="AMM218" s="35"/>
      <c r="AWH218" s="35"/>
      <c r="AWI218" s="35"/>
      <c r="BGD218" s="35"/>
      <c r="BGE218" s="35"/>
      <c r="BPZ218" s="35"/>
      <c r="BQA218" s="35"/>
      <c r="BZV218" s="35"/>
      <c r="BZW218" s="35"/>
      <c r="CJR218" s="35"/>
      <c r="CJS218" s="35"/>
      <c r="CTN218" s="35"/>
      <c r="CTO218" s="35"/>
      <c r="DDJ218" s="35"/>
      <c r="DDK218" s="35"/>
      <c r="DNF218" s="35"/>
      <c r="DNG218" s="35"/>
      <c r="DXB218" s="35"/>
      <c r="DXC218" s="35"/>
      <c r="EGX218" s="35"/>
      <c r="EGY218" s="35"/>
      <c r="EQT218" s="35"/>
      <c r="EQU218" s="35"/>
      <c r="FAP218" s="35"/>
      <c r="FAQ218" s="35"/>
      <c r="FKL218" s="35"/>
      <c r="FKM218" s="35"/>
      <c r="FUH218" s="35"/>
      <c r="FUI218" s="35"/>
      <c r="GED218" s="35"/>
      <c r="GEE218" s="35"/>
      <c r="GNZ218" s="35"/>
      <c r="GOA218" s="35"/>
      <c r="GXV218" s="35"/>
      <c r="GXW218" s="35"/>
      <c r="HHR218" s="35"/>
      <c r="HHS218" s="35"/>
      <c r="HRN218" s="35"/>
      <c r="HRO218" s="35"/>
      <c r="IBJ218" s="35"/>
      <c r="IBK218" s="35"/>
      <c r="ILF218" s="35"/>
      <c r="ILG218" s="35"/>
      <c r="IVB218" s="35"/>
      <c r="IVC218" s="35"/>
      <c r="JEX218" s="35"/>
      <c r="JEY218" s="35"/>
      <c r="JOT218" s="35"/>
      <c r="JOU218" s="35"/>
      <c r="JYP218" s="35"/>
      <c r="JYQ218" s="35"/>
      <c r="KIL218" s="35"/>
      <c r="KIM218" s="35"/>
      <c r="KSH218" s="35"/>
      <c r="KSI218" s="35"/>
      <c r="LCD218" s="35"/>
      <c r="LCE218" s="35"/>
      <c r="LLZ218" s="35"/>
      <c r="LMA218" s="35"/>
      <c r="LVV218" s="35"/>
      <c r="LVW218" s="35"/>
      <c r="MFR218" s="35"/>
      <c r="MFS218" s="35"/>
      <c r="MPN218" s="35"/>
      <c r="MPO218" s="35"/>
      <c r="MZJ218" s="35"/>
      <c r="MZK218" s="35"/>
      <c r="NJF218" s="35"/>
      <c r="NJG218" s="35"/>
      <c r="NTB218" s="35"/>
      <c r="NTC218" s="35"/>
      <c r="OCX218" s="35"/>
      <c r="OCY218" s="35"/>
      <c r="OMT218" s="35"/>
      <c r="OMU218" s="35"/>
      <c r="OWP218" s="35"/>
      <c r="OWQ218" s="35"/>
      <c r="PGL218" s="35"/>
      <c r="PGM218" s="35"/>
      <c r="PQH218" s="35"/>
      <c r="PQI218" s="35"/>
      <c r="QAD218" s="35"/>
      <c r="QAE218" s="35"/>
      <c r="QJZ218" s="35"/>
      <c r="QKA218" s="35"/>
      <c r="QTV218" s="35"/>
      <c r="QTW218" s="35"/>
      <c r="RDR218" s="35"/>
      <c r="RDS218" s="35"/>
      <c r="RNN218" s="35"/>
      <c r="RNO218" s="35"/>
      <c r="RXJ218" s="35"/>
      <c r="RXK218" s="35"/>
      <c r="SHF218" s="35"/>
      <c r="SHG218" s="35"/>
      <c r="SRB218" s="35"/>
      <c r="SRC218" s="35"/>
      <c r="TAX218" s="35"/>
      <c r="TAY218" s="35"/>
      <c r="TKT218" s="35"/>
      <c r="TKU218" s="35"/>
      <c r="TUP218" s="35"/>
      <c r="TUQ218" s="35"/>
      <c r="UEL218" s="35"/>
      <c r="UEM218" s="35"/>
      <c r="UOH218" s="35"/>
      <c r="UOI218" s="35"/>
      <c r="UYD218" s="35"/>
      <c r="UYE218" s="35"/>
      <c r="VHZ218" s="35"/>
      <c r="VIA218" s="35"/>
      <c r="VRV218" s="35"/>
      <c r="VRW218" s="35"/>
      <c r="WBR218" s="35"/>
      <c r="WBS218" s="35"/>
      <c r="WLN218" s="35"/>
      <c r="WLO218" s="35"/>
      <c r="WVJ218" s="35"/>
      <c r="WVK218" s="35"/>
    </row>
    <row r="219" spans="1:771 1026:1795 2050:2819 3074:3843 4098:4867 5122:5891 6146:6915 7170:7939 8194:8963 9218:9987 10242:11011 11266:12035 12290:13059 13314:14083 14338:15107 15362:16131" s="35" customFormat="1" ht="55.2" x14ac:dyDescent="0.3">
      <c r="A219" s="28">
        <v>18</v>
      </c>
      <c r="B219" s="29" t="s">
        <v>248</v>
      </c>
      <c r="C219" s="30" t="s">
        <v>239</v>
      </c>
      <c r="D219" s="31" t="s">
        <v>13</v>
      </c>
      <c r="E219" s="32">
        <v>13</v>
      </c>
      <c r="F219" s="33"/>
      <c r="G219" s="33"/>
      <c r="H219" s="34" t="s">
        <v>240</v>
      </c>
    </row>
    <row r="220" spans="1:771 1026:1795 2050:2819 3074:3843 4098:4867 5122:5891 6146:6915 7170:7939 8194:8963 9218:9987 10242:11011 11266:12035 12290:13059 13314:14083 14338:15107 15362:16131" s="35" customFormat="1" ht="31.2" x14ac:dyDescent="0.3">
      <c r="A220" s="36"/>
      <c r="B220" s="37" t="s">
        <v>236</v>
      </c>
      <c r="C220" s="38" t="s">
        <v>14</v>
      </c>
      <c r="D220" s="39"/>
      <c r="E220" s="44"/>
      <c r="F220" s="40"/>
      <c r="G220" s="41">
        <f>SUM(G221)</f>
        <v>135252000</v>
      </c>
      <c r="H220" s="42"/>
    </row>
    <row r="221" spans="1:771 1026:1795 2050:2819 3074:3843 4098:4867 5122:5891 6146:6915 7170:7939 8194:8963 9218:9987 10242:11011 11266:12035 12290:13059 13314:14083 14338:15107 15362:16131" s="35" customFormat="1" ht="31.2" x14ac:dyDescent="0.3">
      <c r="A221" s="36"/>
      <c r="B221" s="37" t="s">
        <v>237</v>
      </c>
      <c r="C221" s="43" t="s">
        <v>55</v>
      </c>
      <c r="D221" s="39" t="s">
        <v>13</v>
      </c>
      <c r="E221" s="44">
        <v>13</v>
      </c>
      <c r="F221" s="153">
        <v>10404000</v>
      </c>
      <c r="G221" s="40">
        <f>E221*F221</f>
        <v>135252000</v>
      </c>
      <c r="H221" s="42"/>
    </row>
    <row r="222" spans="1:771 1026:1795 2050:2819 3074:3843 4098:4867 5122:5891 6146:6915 7170:7939 8194:8963 9218:9987 10242:11011 11266:12035 12290:13059 13314:14083 14338:15107 15362:16131" s="35" customFormat="1" ht="62.4" x14ac:dyDescent="0.3">
      <c r="A222" s="36"/>
      <c r="B222" s="46" t="s">
        <v>238</v>
      </c>
      <c r="C222" s="47" t="s">
        <v>35</v>
      </c>
      <c r="D222" s="39"/>
      <c r="E222" s="44"/>
      <c r="F222" s="40"/>
      <c r="G222" s="41">
        <f>SUM(G223:G232)</f>
        <v>14784656</v>
      </c>
      <c r="H222" s="45"/>
    </row>
    <row r="223" spans="1:771 1026:1795 2050:2819 3074:3843 4098:4867 5122:5891 6146:6915 7170:7939 8194:8963 9218:9987 10242:11011 11266:12035 12290:13059 13314:14083 14338:15107 15362:16131" s="35" customFormat="1" ht="31.2" x14ac:dyDescent="0.3">
      <c r="A223" s="36"/>
      <c r="B223" s="50" t="s">
        <v>67</v>
      </c>
      <c r="C223" s="48" t="s">
        <v>241</v>
      </c>
      <c r="D223" s="39" t="s">
        <v>13</v>
      </c>
      <c r="E223" s="44"/>
      <c r="F223" s="40"/>
      <c r="G223" s="40">
        <f t="shared" ref="G223:G232" si="4">E223*F223</f>
        <v>0</v>
      </c>
      <c r="H223" s="52"/>
    </row>
    <row r="224" spans="1:771 1026:1795 2050:2819 3074:3843 4098:4867 5122:5891 6146:6915 7170:7939 8194:8963 9218:9987 10242:11011 11266:12035 12290:13059 13314:14083 14338:15107 15362:16131" s="35" customFormat="1" ht="18.600000000000001" x14ac:dyDescent="0.3">
      <c r="A224" s="36"/>
      <c r="B224" s="46"/>
      <c r="C224" s="48" t="s">
        <v>242</v>
      </c>
      <c r="D224" s="39" t="s">
        <v>13</v>
      </c>
      <c r="E224" s="44">
        <v>10.074999999999999</v>
      </c>
      <c r="F224" s="40"/>
      <c r="G224" s="40">
        <f t="shared" si="4"/>
        <v>0</v>
      </c>
      <c r="H224" s="52" t="s">
        <v>179</v>
      </c>
    </row>
    <row r="225" spans="1:771 1026:1795 2050:2819 3074:3843 4098:4867 5122:5891 6146:6915 7170:7939 8194:8963 9218:9987 10242:11011 11266:12035 12290:13059 13314:14083 14338:15107 15362:16131" s="35" customFormat="1" ht="46.8" x14ac:dyDescent="0.3">
      <c r="A225" s="36"/>
      <c r="B225" s="46"/>
      <c r="C225" s="48" t="s">
        <v>243</v>
      </c>
      <c r="D225" s="39"/>
      <c r="E225" s="44"/>
      <c r="F225" s="40"/>
      <c r="G225" s="40">
        <f t="shared" si="4"/>
        <v>0</v>
      </c>
      <c r="H225" s="52" t="s">
        <v>179</v>
      </c>
    </row>
    <row r="226" spans="1:771 1026:1795 2050:2819 3074:3843 4098:4867 5122:5891 6146:6915 7170:7939 8194:8963 9218:9987 10242:11011 11266:12035 12290:13059 13314:14083 14338:15107 15362:16131" s="35" customFormat="1" ht="41.4" x14ac:dyDescent="0.3">
      <c r="A226" s="36"/>
      <c r="B226" s="46"/>
      <c r="C226" s="48" t="s">
        <v>242</v>
      </c>
      <c r="D226" s="39" t="s">
        <v>13</v>
      </c>
      <c r="E226" s="44">
        <v>2.9249999999999998</v>
      </c>
      <c r="F226" s="40"/>
      <c r="G226" s="40">
        <f t="shared" si="4"/>
        <v>0</v>
      </c>
      <c r="H226" s="42" t="s">
        <v>2125</v>
      </c>
    </row>
    <row r="227" spans="1:771 1026:1795 2050:2819 3074:3843 4098:4867 5122:5891 6146:6915 7170:7939 8194:8963 9218:9987 10242:11011 11266:12035 12290:13059 13314:14083 14338:15107 15362:16131" s="35" customFormat="1" ht="31.2" x14ac:dyDescent="0.3">
      <c r="A227" s="36"/>
      <c r="B227" s="46"/>
      <c r="C227" s="48" t="s">
        <v>244</v>
      </c>
      <c r="D227" s="39" t="s">
        <v>13</v>
      </c>
      <c r="E227" s="44">
        <v>5.98</v>
      </c>
      <c r="F227" s="40">
        <v>733000</v>
      </c>
      <c r="G227" s="40">
        <f t="shared" si="4"/>
        <v>4383340</v>
      </c>
      <c r="H227" s="52"/>
    </row>
    <row r="228" spans="1:771 1026:1795 2050:2819 3074:3843 4098:4867 5122:5891 6146:6915 7170:7939 8194:8963 9218:9987 10242:11011 11266:12035 12290:13059 13314:14083 14338:15107 15362:16131" s="35" customFormat="1" ht="18.600000000000001" x14ac:dyDescent="0.3">
      <c r="A228" s="36"/>
      <c r="B228" s="46"/>
      <c r="C228" s="48" t="s">
        <v>2612</v>
      </c>
      <c r="D228" s="39" t="s">
        <v>13</v>
      </c>
      <c r="E228" s="44">
        <v>18.559999999999999</v>
      </c>
      <c r="F228" s="40">
        <v>100000</v>
      </c>
      <c r="G228" s="40">
        <f t="shared" si="4"/>
        <v>1855999.9999999998</v>
      </c>
      <c r="H228" s="52"/>
    </row>
    <row r="229" spans="1:771 1026:1795 2050:2819 3074:3843 4098:4867 5122:5891 6146:6915 7170:7939 8194:8963 9218:9987 10242:11011 11266:12035 12290:13059 13314:14083 14338:15107 15362:16131" s="35" customFormat="1" ht="18.600000000000001" x14ac:dyDescent="0.3">
      <c r="A229" s="36"/>
      <c r="B229" s="46"/>
      <c r="C229" s="48" t="s">
        <v>187</v>
      </c>
      <c r="D229" s="39" t="s">
        <v>128</v>
      </c>
      <c r="E229" s="44">
        <v>2.5760000000000001</v>
      </c>
      <c r="F229" s="40">
        <v>1946000</v>
      </c>
      <c r="G229" s="40">
        <f t="shared" si="4"/>
        <v>5012896</v>
      </c>
      <c r="H229" s="52"/>
    </row>
    <row r="230" spans="1:771 1026:1795 2050:2819 3074:3843 4098:4867 5122:5891 6146:6915 7170:7939 8194:8963 9218:9987 10242:11011 11266:12035 12290:13059 13314:14083 14338:15107 15362:16131" s="35" customFormat="1" ht="18.600000000000001" x14ac:dyDescent="0.3">
      <c r="A230" s="36"/>
      <c r="B230" s="46"/>
      <c r="C230" s="48" t="s">
        <v>245</v>
      </c>
      <c r="D230" s="39" t="s">
        <v>13</v>
      </c>
      <c r="E230" s="44">
        <v>1.26</v>
      </c>
      <c r="F230" s="40">
        <v>67000</v>
      </c>
      <c r="G230" s="40">
        <f t="shared" si="4"/>
        <v>84420</v>
      </c>
      <c r="H230" s="52"/>
    </row>
    <row r="231" spans="1:771 1026:1795 2050:2819 3074:3843 4098:4867 5122:5891 6146:6915 7170:7939 8194:8963 9218:9987 10242:11011 11266:12035 12290:13059 13314:14083 14338:15107 15362:16131" s="35" customFormat="1" ht="18.600000000000001" x14ac:dyDescent="0.3">
      <c r="A231" s="36"/>
      <c r="B231" s="46"/>
      <c r="C231" s="48" t="s">
        <v>233</v>
      </c>
      <c r="D231" s="39" t="s">
        <v>13</v>
      </c>
      <c r="E231" s="44">
        <v>7.36</v>
      </c>
      <c r="F231" s="40">
        <v>400000</v>
      </c>
      <c r="G231" s="40">
        <f t="shared" si="4"/>
        <v>2944000</v>
      </c>
      <c r="H231" s="52"/>
    </row>
    <row r="232" spans="1:771 1026:1795 2050:2819 3074:3843 4098:4867 5122:5891 6146:6915 7170:7939 8194:8963 9218:9987 10242:11011 11266:12035 12290:13059 13314:14083 14338:15107 15362:16131" s="35" customFormat="1" ht="18.600000000000001" x14ac:dyDescent="0.3">
      <c r="A232" s="36"/>
      <c r="B232" s="46"/>
      <c r="C232" s="48" t="s">
        <v>246</v>
      </c>
      <c r="D232" s="39" t="s">
        <v>13</v>
      </c>
      <c r="E232" s="44">
        <v>1.26</v>
      </c>
      <c r="F232" s="40">
        <v>400000</v>
      </c>
      <c r="G232" s="40">
        <f t="shared" si="4"/>
        <v>504000</v>
      </c>
      <c r="H232" s="52"/>
    </row>
    <row r="233" spans="1:771 1026:1795 2050:2819 3074:3843 4098:4867 5122:5891 6146:6915 7170:7939 8194:8963 9218:9987 10242:11011 11266:12035 12290:13059 13314:14083 14338:15107 15362:16131" s="35" customFormat="1" x14ac:dyDescent="0.3">
      <c r="A233" s="36"/>
      <c r="B233" s="46"/>
      <c r="C233" s="51" t="s">
        <v>20</v>
      </c>
      <c r="D233" s="39"/>
      <c r="E233" s="44"/>
      <c r="F233" s="40"/>
      <c r="G233" s="41">
        <f>SUM(G234:G235)</f>
        <v>160000</v>
      </c>
      <c r="H233" s="52"/>
    </row>
    <row r="234" spans="1:771 1026:1795 2050:2819 3074:3843 4098:4867 5122:5891 6146:6915 7170:7939 8194:8963 9218:9987 10242:11011 11266:12035 12290:13059 13314:14083 14338:15107 15362:16131" s="35" customFormat="1" x14ac:dyDescent="0.3">
      <c r="A234" s="36"/>
      <c r="B234" s="46"/>
      <c r="C234" s="50" t="s">
        <v>247</v>
      </c>
      <c r="D234" s="39"/>
      <c r="E234" s="44">
        <v>1</v>
      </c>
      <c r="F234" s="40">
        <v>80000</v>
      </c>
      <c r="G234" s="40">
        <f>E234*F234</f>
        <v>80000</v>
      </c>
      <c r="H234" s="52"/>
    </row>
    <row r="235" spans="1:771 1026:1795 2050:2819 3074:3843 4098:4867 5122:5891 6146:6915 7170:7939 8194:8963 9218:9987 10242:11011 11266:12035 12290:13059 13314:14083 14338:15107 15362:16131" s="35" customFormat="1" x14ac:dyDescent="0.3">
      <c r="A235" s="36"/>
      <c r="B235" s="46"/>
      <c r="C235" s="50" t="s">
        <v>902</v>
      </c>
      <c r="D235" s="39"/>
      <c r="E235" s="44">
        <v>2</v>
      </c>
      <c r="F235" s="40">
        <v>40000</v>
      </c>
      <c r="G235" s="40">
        <f>E235*F235</f>
        <v>80000</v>
      </c>
      <c r="H235" s="52"/>
    </row>
    <row r="236" spans="1:771 1026:1795 2050:2819 3074:3843 4098:4867 5122:5891 6146:6915 7170:7939 8194:8963 9218:9987 10242:11011 11266:12035 12290:13059 13314:14083 14338:15107 15362:16131" s="35" customFormat="1" x14ac:dyDescent="0.3">
      <c r="A236" s="36"/>
      <c r="B236" s="46"/>
      <c r="C236" s="51" t="s">
        <v>23</v>
      </c>
      <c r="D236" s="39"/>
      <c r="E236" s="1"/>
      <c r="F236" s="2"/>
      <c r="G236" s="41">
        <f>SUM(G237)</f>
        <v>6120000</v>
      </c>
      <c r="H236" s="52"/>
    </row>
    <row r="237" spans="1:771 1026:1795 2050:2819 3074:3843 4098:4867 5122:5891 6146:6915 7170:7939 8194:8963 9218:9987 10242:11011 11266:12035 12290:13059 13314:14083 14338:15107 15362:16131" s="35" customFormat="1" x14ac:dyDescent="0.3">
      <c r="A237" s="36"/>
      <c r="B237" s="46"/>
      <c r="C237" s="50" t="s">
        <v>24</v>
      </c>
      <c r="D237" s="39" t="s">
        <v>25</v>
      </c>
      <c r="E237" s="1">
        <f>2*30*6</f>
        <v>360</v>
      </c>
      <c r="F237" s="2">
        <v>17000</v>
      </c>
      <c r="G237" s="40">
        <f>E237*F237</f>
        <v>6120000</v>
      </c>
      <c r="H237" s="42"/>
    </row>
    <row r="238" spans="1:771 1026:1795 2050:2819 3074:3843 4098:4867 5122:5891 6146:6915 7170:7939 8194:8963 9218:9987 10242:11011 11266:12035 12290:13059 13314:14083 14338:15107 15362:16131" s="35" customFormat="1" ht="65.400000000000006" thickBot="1" x14ac:dyDescent="0.35">
      <c r="A238" s="53"/>
      <c r="B238" s="54"/>
      <c r="C238" s="55" t="s">
        <v>2331</v>
      </c>
      <c r="D238" s="56"/>
      <c r="E238" s="5"/>
      <c r="F238" s="6"/>
      <c r="G238" s="57"/>
      <c r="H238" s="58"/>
    </row>
    <row r="239" spans="1:771 1026:1795 2050:2819 3074:3843 4098:4867 5122:5891 6146:6915 7170:7939 8194:8963 9218:9987 10242:11011 11266:12035 12290:13059 13314:14083 14338:15107 15362:16131" s="59" customFormat="1" ht="31.8" thickBot="1" x14ac:dyDescent="0.35">
      <c r="A239" s="154"/>
      <c r="B239" s="155" t="s">
        <v>26</v>
      </c>
      <c r="C239" s="156"/>
      <c r="D239" s="154"/>
      <c r="E239" s="157"/>
      <c r="F239" s="158"/>
      <c r="G239" s="159">
        <f>SUM(G219:G238)/2</f>
        <v>156316656</v>
      </c>
      <c r="H239" s="160"/>
      <c r="IX239" s="35"/>
      <c r="IY239" s="35"/>
      <c r="ST239" s="35"/>
      <c r="SU239" s="35"/>
      <c r="ACP239" s="35"/>
      <c r="ACQ239" s="35"/>
      <c r="AML239" s="35"/>
      <c r="AMM239" s="35"/>
      <c r="AWH239" s="35"/>
      <c r="AWI239" s="35"/>
      <c r="BGD239" s="35"/>
      <c r="BGE239" s="35"/>
      <c r="BPZ239" s="35"/>
      <c r="BQA239" s="35"/>
      <c r="BZV239" s="35"/>
      <c r="BZW239" s="35"/>
      <c r="CJR239" s="35"/>
      <c r="CJS239" s="35"/>
      <c r="CTN239" s="35"/>
      <c r="CTO239" s="35"/>
      <c r="DDJ239" s="35"/>
      <c r="DDK239" s="35"/>
      <c r="DNF239" s="35"/>
      <c r="DNG239" s="35"/>
      <c r="DXB239" s="35"/>
      <c r="DXC239" s="35"/>
      <c r="EGX239" s="35"/>
      <c r="EGY239" s="35"/>
      <c r="EQT239" s="35"/>
      <c r="EQU239" s="35"/>
      <c r="FAP239" s="35"/>
      <c r="FAQ239" s="35"/>
      <c r="FKL239" s="35"/>
      <c r="FKM239" s="35"/>
      <c r="FUH239" s="35"/>
      <c r="FUI239" s="35"/>
      <c r="GED239" s="35"/>
      <c r="GEE239" s="35"/>
      <c r="GNZ239" s="35"/>
      <c r="GOA239" s="35"/>
      <c r="GXV239" s="35"/>
      <c r="GXW239" s="35"/>
      <c r="HHR239" s="35"/>
      <c r="HHS239" s="35"/>
      <c r="HRN239" s="35"/>
      <c r="HRO239" s="35"/>
      <c r="IBJ239" s="35"/>
      <c r="IBK239" s="35"/>
      <c r="ILF239" s="35"/>
      <c r="ILG239" s="35"/>
      <c r="IVB239" s="35"/>
      <c r="IVC239" s="35"/>
      <c r="JEX239" s="35"/>
      <c r="JEY239" s="35"/>
      <c r="JOT239" s="35"/>
      <c r="JOU239" s="35"/>
      <c r="JYP239" s="35"/>
      <c r="JYQ239" s="35"/>
      <c r="KIL239" s="35"/>
      <c r="KIM239" s="35"/>
      <c r="KSH239" s="35"/>
      <c r="KSI239" s="35"/>
      <c r="LCD239" s="35"/>
      <c r="LCE239" s="35"/>
      <c r="LLZ239" s="35"/>
      <c r="LMA239" s="35"/>
      <c r="LVV239" s="35"/>
      <c r="LVW239" s="35"/>
      <c r="MFR239" s="35"/>
      <c r="MFS239" s="35"/>
      <c r="MPN239" s="35"/>
      <c r="MPO239" s="35"/>
      <c r="MZJ239" s="35"/>
      <c r="MZK239" s="35"/>
      <c r="NJF239" s="35"/>
      <c r="NJG239" s="35"/>
      <c r="NTB239" s="35"/>
      <c r="NTC239" s="35"/>
      <c r="OCX239" s="35"/>
      <c r="OCY239" s="35"/>
      <c r="OMT239" s="35"/>
      <c r="OMU239" s="35"/>
      <c r="OWP239" s="35"/>
      <c r="OWQ239" s="35"/>
      <c r="PGL239" s="35"/>
      <c r="PGM239" s="35"/>
      <c r="PQH239" s="35"/>
      <c r="PQI239" s="35"/>
      <c r="QAD239" s="35"/>
      <c r="QAE239" s="35"/>
      <c r="QJZ239" s="35"/>
      <c r="QKA239" s="35"/>
      <c r="QTV239" s="35"/>
      <c r="QTW239" s="35"/>
      <c r="RDR239" s="35"/>
      <c r="RDS239" s="35"/>
      <c r="RNN239" s="35"/>
      <c r="RNO239" s="35"/>
      <c r="RXJ239" s="35"/>
      <c r="RXK239" s="35"/>
      <c r="SHF239" s="35"/>
      <c r="SHG239" s="35"/>
      <c r="SRB239" s="35"/>
      <c r="SRC239" s="35"/>
      <c r="TAX239" s="35"/>
      <c r="TAY239" s="35"/>
      <c r="TKT239" s="35"/>
      <c r="TKU239" s="35"/>
      <c r="TUP239" s="35"/>
      <c r="TUQ239" s="35"/>
      <c r="UEL239" s="35"/>
      <c r="UEM239" s="35"/>
      <c r="UOH239" s="35"/>
      <c r="UOI239" s="35"/>
      <c r="UYD239" s="35"/>
      <c r="UYE239" s="35"/>
      <c r="VHZ239" s="35"/>
      <c r="VIA239" s="35"/>
      <c r="VRV239" s="35"/>
      <c r="VRW239" s="35"/>
      <c r="WBR239" s="35"/>
      <c r="WBS239" s="35"/>
      <c r="WLN239" s="35"/>
      <c r="WLO239" s="35"/>
      <c r="WVJ239" s="35"/>
      <c r="WVK239" s="35"/>
    </row>
    <row r="240" spans="1:771 1026:1795 2050:2819 3074:3843 4098:4867 5122:5891 6146:6915 7170:7939 8194:8963 9218:9987 10242:11011 11266:12035 12290:13059 13314:14083 14338:15107 15362:16131" s="35" customFormat="1" ht="55.2" x14ac:dyDescent="0.3">
      <c r="A240" s="28">
        <v>19</v>
      </c>
      <c r="B240" s="29" t="s">
        <v>249</v>
      </c>
      <c r="C240" s="30" t="s">
        <v>2167</v>
      </c>
      <c r="D240" s="31" t="s">
        <v>13</v>
      </c>
      <c r="E240" s="32">
        <v>12</v>
      </c>
      <c r="F240" s="33"/>
      <c r="G240" s="33"/>
      <c r="H240" s="34" t="s">
        <v>2168</v>
      </c>
    </row>
    <row r="241" spans="1:771 1026:1795 2050:2819 3074:3843 4098:4867 5122:5891 6146:6915 7170:7939 8194:8963 9218:9987 10242:11011 11266:12035 12290:13059 13314:14083 14338:15107 15362:16131" s="35" customFormat="1" ht="31.2" x14ac:dyDescent="0.3">
      <c r="A241" s="36"/>
      <c r="B241" s="37" t="s">
        <v>250</v>
      </c>
      <c r="C241" s="38" t="s">
        <v>14</v>
      </c>
      <c r="D241" s="39"/>
      <c r="E241" s="44"/>
      <c r="F241" s="40"/>
      <c r="G241" s="41">
        <f>SUM(G242)</f>
        <v>233748000</v>
      </c>
      <c r="H241" s="42"/>
    </row>
    <row r="242" spans="1:771 1026:1795 2050:2819 3074:3843 4098:4867 5122:5891 6146:6915 7170:7939 8194:8963 9218:9987 10242:11011 11266:12035 12290:13059 13314:14083 14338:15107 15362:16131" s="35" customFormat="1" ht="18.600000000000001" x14ac:dyDescent="0.3">
      <c r="A242" s="36"/>
      <c r="B242" s="37" t="s">
        <v>252</v>
      </c>
      <c r="C242" s="48" t="s">
        <v>38</v>
      </c>
      <c r="D242" s="39" t="s">
        <v>13</v>
      </c>
      <c r="E242" s="44">
        <v>12</v>
      </c>
      <c r="F242" s="161">
        <v>19479000</v>
      </c>
      <c r="G242" s="40">
        <f>E242*F242</f>
        <v>233748000</v>
      </c>
      <c r="H242" s="42"/>
    </row>
    <row r="243" spans="1:771 1026:1795 2050:2819 3074:3843 4098:4867 5122:5891 6146:6915 7170:7939 8194:8963 9218:9987 10242:11011 11266:12035 12290:13059 13314:14083 14338:15107 15362:16131" s="35" customFormat="1" ht="62.4" x14ac:dyDescent="0.3">
      <c r="A243" s="36"/>
      <c r="B243" s="46" t="s">
        <v>251</v>
      </c>
      <c r="C243" s="47" t="s">
        <v>35</v>
      </c>
      <c r="D243" s="39"/>
      <c r="E243" s="44"/>
      <c r="F243" s="40"/>
      <c r="G243" s="41">
        <f>SUM(G244:G252)</f>
        <v>14352390.6</v>
      </c>
      <c r="H243" s="45"/>
    </row>
    <row r="244" spans="1:771 1026:1795 2050:2819 3074:3843 4098:4867 5122:5891 6146:6915 7170:7939 8194:8963 9218:9987 10242:11011 11266:12035 12290:13059 13314:14083 14338:15107 15362:16131" s="35" customFormat="1" ht="62.4" x14ac:dyDescent="0.3">
      <c r="A244" s="36"/>
      <c r="B244" s="50" t="s">
        <v>253</v>
      </c>
      <c r="C244" s="48" t="s">
        <v>255</v>
      </c>
      <c r="D244" s="39" t="s">
        <v>13</v>
      </c>
      <c r="E244" s="44">
        <v>0.34200000000000003</v>
      </c>
      <c r="F244" s="40">
        <f>3592000*40%</f>
        <v>1436800</v>
      </c>
      <c r="G244" s="40">
        <f>E244*F244</f>
        <v>491385.60000000003</v>
      </c>
      <c r="H244" s="52" t="s">
        <v>256</v>
      </c>
    </row>
    <row r="245" spans="1:771 1026:1795 2050:2819 3074:3843 4098:4867 5122:5891 6146:6915 7170:7939 8194:8963 9218:9987 10242:11011 11266:12035 12290:13059 13314:14083 14338:15107 15362:16131" s="35" customFormat="1" ht="31.2" x14ac:dyDescent="0.3">
      <c r="A245" s="36"/>
      <c r="B245" s="46"/>
      <c r="C245" s="48" t="s">
        <v>257</v>
      </c>
      <c r="D245" s="39"/>
      <c r="E245" s="44"/>
      <c r="F245" s="40"/>
      <c r="G245" s="40"/>
      <c r="H245" s="52"/>
    </row>
    <row r="246" spans="1:771 1026:1795 2050:2819 3074:3843 4098:4867 5122:5891 6146:6915 7170:7939 8194:8963 9218:9987 10242:11011 11266:12035 12290:13059 13314:14083 14338:15107 15362:16131" s="35" customFormat="1" ht="18.600000000000001" x14ac:dyDescent="0.3">
      <c r="A246" s="36"/>
      <c r="B246" s="46"/>
      <c r="C246" s="48" t="s">
        <v>258</v>
      </c>
      <c r="D246" s="39" t="s">
        <v>13</v>
      </c>
      <c r="E246" s="44">
        <v>10.11</v>
      </c>
      <c r="F246" s="40">
        <f>540000*40%</f>
        <v>216000</v>
      </c>
      <c r="G246" s="40">
        <f t="shared" ref="G246:G252" si="5">E246*F246</f>
        <v>2183760</v>
      </c>
      <c r="H246" s="52"/>
    </row>
    <row r="247" spans="1:771 1026:1795 2050:2819 3074:3843 4098:4867 5122:5891 6146:6915 7170:7939 8194:8963 9218:9987 10242:11011 11266:12035 12290:13059 13314:14083 14338:15107 15362:16131" s="35" customFormat="1" ht="18.600000000000001" x14ac:dyDescent="0.3">
      <c r="A247" s="36"/>
      <c r="B247" s="46"/>
      <c r="C247" s="48" t="s">
        <v>364</v>
      </c>
      <c r="D247" s="39" t="s">
        <v>13</v>
      </c>
      <c r="E247" s="44">
        <v>11.4</v>
      </c>
      <c r="F247" s="40">
        <v>100000</v>
      </c>
      <c r="G247" s="40">
        <f t="shared" si="5"/>
        <v>1140000</v>
      </c>
      <c r="H247" s="52"/>
    </row>
    <row r="248" spans="1:771 1026:1795 2050:2819 3074:3843 4098:4867 5122:5891 6146:6915 7170:7939 8194:8963 9218:9987 10242:11011 11266:12035 12290:13059 13314:14083 14338:15107 15362:16131" s="35" customFormat="1" ht="18.600000000000001" x14ac:dyDescent="0.3">
      <c r="A248" s="36"/>
      <c r="B248" s="46"/>
      <c r="C248" s="48" t="s">
        <v>187</v>
      </c>
      <c r="D248" s="39" t="s">
        <v>104</v>
      </c>
      <c r="E248" s="44">
        <v>1.8</v>
      </c>
      <c r="F248" s="40">
        <v>1946000</v>
      </c>
      <c r="G248" s="40">
        <f t="shared" si="5"/>
        <v>3502800</v>
      </c>
      <c r="H248" s="52"/>
    </row>
    <row r="249" spans="1:771 1026:1795 2050:2819 3074:3843 4098:4867 5122:5891 6146:6915 7170:7939 8194:8963 9218:9987 10242:11011 11266:12035 12290:13059 13314:14083 14338:15107 15362:16131" s="35" customFormat="1" ht="18.600000000000001" x14ac:dyDescent="0.3">
      <c r="A249" s="36"/>
      <c r="B249" s="46"/>
      <c r="C249" s="48" t="s">
        <v>188</v>
      </c>
      <c r="D249" s="39" t="s">
        <v>13</v>
      </c>
      <c r="E249" s="44">
        <v>12</v>
      </c>
      <c r="F249" s="40">
        <v>107000</v>
      </c>
      <c r="G249" s="40">
        <f t="shared" si="5"/>
        <v>1284000</v>
      </c>
      <c r="H249" s="52"/>
    </row>
    <row r="250" spans="1:771 1026:1795 2050:2819 3074:3843 4098:4867 5122:5891 6146:6915 7170:7939 8194:8963 9218:9987 10242:11011 11266:12035 12290:13059 13314:14083 14338:15107 15362:16131" s="35" customFormat="1" ht="18.600000000000001" x14ac:dyDescent="0.3">
      <c r="A250" s="36"/>
      <c r="B250" s="46"/>
      <c r="C250" s="48" t="s">
        <v>260</v>
      </c>
      <c r="D250" s="39" t="s">
        <v>104</v>
      </c>
      <c r="E250" s="44">
        <f>5.7*4.8*0.1</f>
        <v>2.7360000000000002</v>
      </c>
      <c r="F250" s="40">
        <v>1533000</v>
      </c>
      <c r="G250" s="40">
        <f t="shared" si="5"/>
        <v>4194288.0000000005</v>
      </c>
      <c r="H250" s="52"/>
    </row>
    <row r="251" spans="1:771 1026:1795 2050:2819 3074:3843 4098:4867 5122:5891 6146:6915 7170:7939 8194:8963 9218:9987 10242:11011 11266:12035 12290:13059 13314:14083 14338:15107 15362:16131" s="35" customFormat="1" ht="18.600000000000001" x14ac:dyDescent="0.3">
      <c r="A251" s="36"/>
      <c r="B251" s="46"/>
      <c r="C251" s="48" t="s">
        <v>189</v>
      </c>
      <c r="D251" s="39" t="s">
        <v>104</v>
      </c>
      <c r="E251" s="44">
        <f>2.3*1.9*0.1</f>
        <v>0.43699999999999994</v>
      </c>
      <c r="F251" s="40">
        <v>1421000</v>
      </c>
      <c r="G251" s="40">
        <f t="shared" si="5"/>
        <v>620976.99999999988</v>
      </c>
      <c r="H251" s="52"/>
    </row>
    <row r="252" spans="1:771 1026:1795 2050:2819 3074:3843 4098:4867 5122:5891 6146:6915 7170:7939 8194:8963 9218:9987 10242:11011 11266:12035 12290:13059 13314:14083 14338:15107 15362:16131" s="35" customFormat="1" ht="18.600000000000001" x14ac:dyDescent="0.3">
      <c r="A252" s="36"/>
      <c r="B252" s="46"/>
      <c r="C252" s="48" t="s">
        <v>190</v>
      </c>
      <c r="D252" s="39" t="s">
        <v>13</v>
      </c>
      <c r="E252" s="44">
        <v>8.74</v>
      </c>
      <c r="F252" s="40">
        <v>107000</v>
      </c>
      <c r="G252" s="40">
        <f t="shared" si="5"/>
        <v>935180</v>
      </c>
      <c r="H252" s="52"/>
    </row>
    <row r="253" spans="1:771 1026:1795 2050:2819 3074:3843 4098:4867 5122:5891 6146:6915 7170:7939 8194:8963 9218:9987 10242:11011 11266:12035 12290:13059 13314:14083 14338:15107 15362:16131" s="35" customFormat="1" ht="65.400000000000006" thickBot="1" x14ac:dyDescent="0.35">
      <c r="A253" s="53"/>
      <c r="B253" s="54"/>
      <c r="C253" s="55" t="s">
        <v>2331</v>
      </c>
      <c r="D253" s="56"/>
      <c r="E253" s="5"/>
      <c r="F253" s="6"/>
      <c r="G253" s="57"/>
      <c r="H253" s="58"/>
    </row>
    <row r="254" spans="1:771 1026:1795 2050:2819 3074:3843 4098:4867 5122:5891 6146:6915 7170:7939 8194:8963 9218:9987 10242:11011 11266:12035 12290:13059 13314:14083 14338:15107 15362:16131" s="59" customFormat="1" ht="31.8" thickBot="1" x14ac:dyDescent="0.35">
      <c r="A254" s="154"/>
      <c r="B254" s="155" t="s">
        <v>26</v>
      </c>
      <c r="C254" s="156"/>
      <c r="D254" s="154"/>
      <c r="E254" s="157"/>
      <c r="F254" s="158"/>
      <c r="G254" s="159">
        <f>SUM(G240:G253)/2</f>
        <v>248100390.60000002</v>
      </c>
      <c r="H254" s="160"/>
      <c r="IX254" s="35"/>
      <c r="IY254" s="35"/>
      <c r="ST254" s="35"/>
      <c r="SU254" s="35"/>
      <c r="ACP254" s="35"/>
      <c r="ACQ254" s="35"/>
      <c r="AML254" s="35"/>
      <c r="AMM254" s="35"/>
      <c r="AWH254" s="35"/>
      <c r="AWI254" s="35"/>
      <c r="BGD254" s="35"/>
      <c r="BGE254" s="35"/>
      <c r="BPZ254" s="35"/>
      <c r="BQA254" s="35"/>
      <c r="BZV254" s="35"/>
      <c r="BZW254" s="35"/>
      <c r="CJR254" s="35"/>
      <c r="CJS254" s="35"/>
      <c r="CTN254" s="35"/>
      <c r="CTO254" s="35"/>
      <c r="DDJ254" s="35"/>
      <c r="DDK254" s="35"/>
      <c r="DNF254" s="35"/>
      <c r="DNG254" s="35"/>
      <c r="DXB254" s="35"/>
      <c r="DXC254" s="35"/>
      <c r="EGX254" s="35"/>
      <c r="EGY254" s="35"/>
      <c r="EQT254" s="35"/>
      <c r="EQU254" s="35"/>
      <c r="FAP254" s="35"/>
      <c r="FAQ254" s="35"/>
      <c r="FKL254" s="35"/>
      <c r="FKM254" s="35"/>
      <c r="FUH254" s="35"/>
      <c r="FUI254" s="35"/>
      <c r="GED254" s="35"/>
      <c r="GEE254" s="35"/>
      <c r="GNZ254" s="35"/>
      <c r="GOA254" s="35"/>
      <c r="GXV254" s="35"/>
      <c r="GXW254" s="35"/>
      <c r="HHR254" s="35"/>
      <c r="HHS254" s="35"/>
      <c r="HRN254" s="35"/>
      <c r="HRO254" s="35"/>
      <c r="IBJ254" s="35"/>
      <c r="IBK254" s="35"/>
      <c r="ILF254" s="35"/>
      <c r="ILG254" s="35"/>
      <c r="IVB254" s="35"/>
      <c r="IVC254" s="35"/>
      <c r="JEX254" s="35"/>
      <c r="JEY254" s="35"/>
      <c r="JOT254" s="35"/>
      <c r="JOU254" s="35"/>
      <c r="JYP254" s="35"/>
      <c r="JYQ254" s="35"/>
      <c r="KIL254" s="35"/>
      <c r="KIM254" s="35"/>
      <c r="KSH254" s="35"/>
      <c r="KSI254" s="35"/>
      <c r="LCD254" s="35"/>
      <c r="LCE254" s="35"/>
      <c r="LLZ254" s="35"/>
      <c r="LMA254" s="35"/>
      <c r="LVV254" s="35"/>
      <c r="LVW254" s="35"/>
      <c r="MFR254" s="35"/>
      <c r="MFS254" s="35"/>
      <c r="MPN254" s="35"/>
      <c r="MPO254" s="35"/>
      <c r="MZJ254" s="35"/>
      <c r="MZK254" s="35"/>
      <c r="NJF254" s="35"/>
      <c r="NJG254" s="35"/>
      <c r="NTB254" s="35"/>
      <c r="NTC254" s="35"/>
      <c r="OCX254" s="35"/>
      <c r="OCY254" s="35"/>
      <c r="OMT254" s="35"/>
      <c r="OMU254" s="35"/>
      <c r="OWP254" s="35"/>
      <c r="OWQ254" s="35"/>
      <c r="PGL254" s="35"/>
      <c r="PGM254" s="35"/>
      <c r="PQH254" s="35"/>
      <c r="PQI254" s="35"/>
      <c r="QAD254" s="35"/>
      <c r="QAE254" s="35"/>
      <c r="QJZ254" s="35"/>
      <c r="QKA254" s="35"/>
      <c r="QTV254" s="35"/>
      <c r="QTW254" s="35"/>
      <c r="RDR254" s="35"/>
      <c r="RDS254" s="35"/>
      <c r="RNN254" s="35"/>
      <c r="RNO254" s="35"/>
      <c r="RXJ254" s="35"/>
      <c r="RXK254" s="35"/>
      <c r="SHF254" s="35"/>
      <c r="SHG254" s="35"/>
      <c r="SRB254" s="35"/>
      <c r="SRC254" s="35"/>
      <c r="TAX254" s="35"/>
      <c r="TAY254" s="35"/>
      <c r="TKT254" s="35"/>
      <c r="TKU254" s="35"/>
      <c r="TUP254" s="35"/>
      <c r="TUQ254" s="35"/>
      <c r="UEL254" s="35"/>
      <c r="UEM254" s="35"/>
      <c r="UOH254" s="35"/>
      <c r="UOI254" s="35"/>
      <c r="UYD254" s="35"/>
      <c r="UYE254" s="35"/>
      <c r="VHZ254" s="35"/>
      <c r="VIA254" s="35"/>
      <c r="VRV254" s="35"/>
      <c r="VRW254" s="35"/>
      <c r="WBR254" s="35"/>
      <c r="WBS254" s="35"/>
      <c r="WLN254" s="35"/>
      <c r="WLO254" s="35"/>
      <c r="WVJ254" s="35"/>
      <c r="WVK254" s="35"/>
    </row>
    <row r="255" spans="1:771 1026:1795 2050:2819 3074:3843 4098:4867 5122:5891 6146:6915 7170:7939 8194:8963 9218:9987 10242:11011 11266:12035 12290:13059 13314:14083 14338:15107 15362:16131" s="35" customFormat="1" ht="41.4" x14ac:dyDescent="0.3">
      <c r="A255" s="28">
        <v>20</v>
      </c>
      <c r="B255" s="29" t="s">
        <v>261</v>
      </c>
      <c r="C255" s="30" t="s">
        <v>2342</v>
      </c>
      <c r="D255" s="31" t="s">
        <v>13</v>
      </c>
      <c r="E255" s="32">
        <v>17.7</v>
      </c>
      <c r="F255" s="33"/>
      <c r="G255" s="33"/>
      <c r="H255" s="34" t="s">
        <v>254</v>
      </c>
    </row>
    <row r="256" spans="1:771 1026:1795 2050:2819 3074:3843 4098:4867 5122:5891 6146:6915 7170:7939 8194:8963 9218:9987 10242:11011 11266:12035 12290:13059 13314:14083 14338:15107 15362:16131" s="35" customFormat="1" x14ac:dyDescent="0.3">
      <c r="A256" s="36"/>
      <c r="B256" s="37" t="s">
        <v>252</v>
      </c>
      <c r="C256" s="38" t="s">
        <v>14</v>
      </c>
      <c r="D256" s="39"/>
      <c r="E256" s="44"/>
      <c r="F256" s="40"/>
      <c r="G256" s="41">
        <f>SUM(G257)</f>
        <v>184150800</v>
      </c>
      <c r="H256" s="42"/>
    </row>
    <row r="257" spans="1:771 1026:1795 2050:2819 3074:3843 4098:4867 5122:5891 6146:6915 7170:7939 8194:8963 9218:9987 10242:11011 11266:12035 12290:13059 13314:14083 14338:15107 15362:16131" s="35" customFormat="1" ht="62.4" x14ac:dyDescent="0.3">
      <c r="A257" s="36"/>
      <c r="B257" s="46" t="s">
        <v>262</v>
      </c>
      <c r="C257" s="43" t="s">
        <v>55</v>
      </c>
      <c r="D257" s="39" t="s">
        <v>13</v>
      </c>
      <c r="E257" s="44">
        <v>17.7</v>
      </c>
      <c r="F257" s="153">
        <v>10404000</v>
      </c>
      <c r="G257" s="40">
        <f>E257*F257</f>
        <v>184150800</v>
      </c>
      <c r="H257" s="42"/>
    </row>
    <row r="258" spans="1:771 1026:1795 2050:2819 3074:3843 4098:4867 5122:5891 6146:6915 7170:7939 8194:8963 9218:9987 10242:11011 11266:12035 12290:13059 13314:14083 14338:15107 15362:16131" s="35" customFormat="1" x14ac:dyDescent="0.3">
      <c r="A258" s="36"/>
      <c r="B258" s="50" t="s">
        <v>67</v>
      </c>
      <c r="C258" s="47" t="s">
        <v>35</v>
      </c>
      <c r="D258" s="39"/>
      <c r="E258" s="44"/>
      <c r="F258" s="40"/>
      <c r="G258" s="41">
        <f>SUM(G259:G261)</f>
        <v>176204</v>
      </c>
      <c r="H258" s="45"/>
    </row>
    <row r="259" spans="1:771 1026:1795 2050:2819 3074:3843 4098:4867 5122:5891 6146:6915 7170:7939 8194:8963 9218:9987 10242:11011 11266:12035 12290:13059 13314:14083 14338:15107 15362:16131" s="35" customFormat="1" ht="55.2" x14ac:dyDescent="0.3">
      <c r="A259" s="36"/>
      <c r="B259" s="46"/>
      <c r="C259" s="48" t="s">
        <v>2383</v>
      </c>
      <c r="D259" s="39" t="s">
        <v>13</v>
      </c>
      <c r="E259" s="44">
        <v>1.845</v>
      </c>
      <c r="F259" s="40"/>
      <c r="G259" s="40">
        <f>E259*F259</f>
        <v>0</v>
      </c>
      <c r="H259" s="42" t="s">
        <v>2384</v>
      </c>
    </row>
    <row r="260" spans="1:771 1026:1795 2050:2819 3074:3843 4098:4867 5122:5891 6146:6915 7170:7939 8194:8963 9218:9987 10242:11011 11266:12035 12290:13059 13314:14083 14338:15107 15362:16131" s="35" customFormat="1" ht="55.2" x14ac:dyDescent="0.3">
      <c r="A260" s="36"/>
      <c r="B260" s="46"/>
      <c r="C260" s="48" t="s">
        <v>263</v>
      </c>
      <c r="D260" s="39" t="s">
        <v>13</v>
      </c>
      <c r="E260" s="44">
        <v>11.8</v>
      </c>
      <c r="F260" s="40"/>
      <c r="G260" s="40">
        <f>E260*F260</f>
        <v>0</v>
      </c>
      <c r="H260" s="42" t="s">
        <v>2385</v>
      </c>
    </row>
    <row r="261" spans="1:771 1026:1795 2050:2819 3074:3843 4098:4867 5122:5891 6146:6915 7170:7939 8194:8963 9218:9987 10242:11011 11266:12035 12290:13059 13314:14083 14338:15107 15362:16131" s="35" customFormat="1" ht="18.600000000000001" x14ac:dyDescent="0.3">
      <c r="A261" s="36"/>
      <c r="B261" s="46"/>
      <c r="C261" s="48" t="s">
        <v>189</v>
      </c>
      <c r="D261" s="39" t="s">
        <v>128</v>
      </c>
      <c r="E261" s="44">
        <v>0.124</v>
      </c>
      <c r="F261" s="40">
        <v>1421000</v>
      </c>
      <c r="G261" s="40">
        <f>E261*F261</f>
        <v>176204</v>
      </c>
      <c r="H261" s="52"/>
    </row>
    <row r="262" spans="1:771 1026:1795 2050:2819 3074:3843 4098:4867 5122:5891 6146:6915 7170:7939 8194:8963 9218:9987 10242:11011 11266:12035 12290:13059 13314:14083 14338:15107 15362:16131" s="35" customFormat="1" x14ac:dyDescent="0.3">
      <c r="A262" s="36"/>
      <c r="B262" s="46"/>
      <c r="C262" s="51" t="s">
        <v>23</v>
      </c>
      <c r="D262" s="39"/>
      <c r="E262" s="1"/>
      <c r="F262" s="2"/>
      <c r="G262" s="41">
        <f>SUM(G263)</f>
        <v>6120000</v>
      </c>
      <c r="H262" s="52"/>
    </row>
    <row r="263" spans="1:771 1026:1795 2050:2819 3074:3843 4098:4867 5122:5891 6146:6915 7170:7939 8194:8963 9218:9987 10242:11011 11266:12035 12290:13059 13314:14083 14338:15107 15362:16131" s="35" customFormat="1" x14ac:dyDescent="0.3">
      <c r="A263" s="36"/>
      <c r="B263" s="46"/>
      <c r="C263" s="50" t="s">
        <v>24</v>
      </c>
      <c r="D263" s="39" t="s">
        <v>25</v>
      </c>
      <c r="E263" s="1">
        <f>2*30*6</f>
        <v>360</v>
      </c>
      <c r="F263" s="2">
        <v>17000</v>
      </c>
      <c r="G263" s="40">
        <f>E263*F263</f>
        <v>6120000</v>
      </c>
      <c r="H263" s="42"/>
    </row>
    <row r="264" spans="1:771 1026:1795 2050:2819 3074:3843 4098:4867 5122:5891 6146:6915 7170:7939 8194:8963 9218:9987 10242:11011 11266:12035 12290:13059 13314:14083 14338:15107 15362:16131" s="35" customFormat="1" ht="65.400000000000006" thickBot="1" x14ac:dyDescent="0.35">
      <c r="A264" s="53"/>
      <c r="B264" s="54"/>
      <c r="C264" s="55" t="s">
        <v>2331</v>
      </c>
      <c r="D264" s="56"/>
      <c r="E264" s="5"/>
      <c r="F264" s="6"/>
      <c r="G264" s="57"/>
      <c r="H264" s="58"/>
    </row>
    <row r="265" spans="1:771 1026:1795 2050:2819 3074:3843 4098:4867 5122:5891 6146:6915 7170:7939 8194:8963 9218:9987 10242:11011 11266:12035 12290:13059 13314:14083 14338:15107 15362:16131" s="59" customFormat="1" ht="31.8" thickBot="1" x14ac:dyDescent="0.35">
      <c r="A265" s="154"/>
      <c r="B265" s="155" t="s">
        <v>26</v>
      </c>
      <c r="C265" s="156"/>
      <c r="D265" s="154"/>
      <c r="E265" s="157"/>
      <c r="F265" s="158"/>
      <c r="G265" s="159">
        <f>SUM(G255:G264)/2</f>
        <v>190447004</v>
      </c>
      <c r="H265" s="160"/>
      <c r="IX265" s="35"/>
      <c r="IY265" s="35"/>
      <c r="ST265" s="35"/>
      <c r="SU265" s="35"/>
      <c r="ACP265" s="35"/>
      <c r="ACQ265" s="35"/>
      <c r="AML265" s="35"/>
      <c r="AMM265" s="35"/>
      <c r="AWH265" s="35"/>
      <c r="AWI265" s="35"/>
      <c r="BGD265" s="35"/>
      <c r="BGE265" s="35"/>
      <c r="BPZ265" s="35"/>
      <c r="BQA265" s="35"/>
      <c r="BZV265" s="35"/>
      <c r="BZW265" s="35"/>
      <c r="CJR265" s="35"/>
      <c r="CJS265" s="35"/>
      <c r="CTN265" s="35"/>
      <c r="CTO265" s="35"/>
      <c r="DDJ265" s="35"/>
      <c r="DDK265" s="35"/>
      <c r="DNF265" s="35"/>
      <c r="DNG265" s="35"/>
      <c r="DXB265" s="35"/>
      <c r="DXC265" s="35"/>
      <c r="EGX265" s="35"/>
      <c r="EGY265" s="35"/>
      <c r="EQT265" s="35"/>
      <c r="EQU265" s="35"/>
      <c r="FAP265" s="35"/>
      <c r="FAQ265" s="35"/>
      <c r="FKL265" s="35"/>
      <c r="FKM265" s="35"/>
      <c r="FUH265" s="35"/>
      <c r="FUI265" s="35"/>
      <c r="GED265" s="35"/>
      <c r="GEE265" s="35"/>
      <c r="GNZ265" s="35"/>
      <c r="GOA265" s="35"/>
      <c r="GXV265" s="35"/>
      <c r="GXW265" s="35"/>
      <c r="HHR265" s="35"/>
      <c r="HHS265" s="35"/>
      <c r="HRN265" s="35"/>
      <c r="HRO265" s="35"/>
      <c r="IBJ265" s="35"/>
      <c r="IBK265" s="35"/>
      <c r="ILF265" s="35"/>
      <c r="ILG265" s="35"/>
      <c r="IVB265" s="35"/>
      <c r="IVC265" s="35"/>
      <c r="JEX265" s="35"/>
      <c r="JEY265" s="35"/>
      <c r="JOT265" s="35"/>
      <c r="JOU265" s="35"/>
      <c r="JYP265" s="35"/>
      <c r="JYQ265" s="35"/>
      <c r="KIL265" s="35"/>
      <c r="KIM265" s="35"/>
      <c r="KSH265" s="35"/>
      <c r="KSI265" s="35"/>
      <c r="LCD265" s="35"/>
      <c r="LCE265" s="35"/>
      <c r="LLZ265" s="35"/>
      <c r="LMA265" s="35"/>
      <c r="LVV265" s="35"/>
      <c r="LVW265" s="35"/>
      <c r="MFR265" s="35"/>
      <c r="MFS265" s="35"/>
      <c r="MPN265" s="35"/>
      <c r="MPO265" s="35"/>
      <c r="MZJ265" s="35"/>
      <c r="MZK265" s="35"/>
      <c r="NJF265" s="35"/>
      <c r="NJG265" s="35"/>
      <c r="NTB265" s="35"/>
      <c r="NTC265" s="35"/>
      <c r="OCX265" s="35"/>
      <c r="OCY265" s="35"/>
      <c r="OMT265" s="35"/>
      <c r="OMU265" s="35"/>
      <c r="OWP265" s="35"/>
      <c r="OWQ265" s="35"/>
      <c r="PGL265" s="35"/>
      <c r="PGM265" s="35"/>
      <c r="PQH265" s="35"/>
      <c r="PQI265" s="35"/>
      <c r="QAD265" s="35"/>
      <c r="QAE265" s="35"/>
      <c r="QJZ265" s="35"/>
      <c r="QKA265" s="35"/>
      <c r="QTV265" s="35"/>
      <c r="QTW265" s="35"/>
      <c r="RDR265" s="35"/>
      <c r="RDS265" s="35"/>
      <c r="RNN265" s="35"/>
      <c r="RNO265" s="35"/>
      <c r="RXJ265" s="35"/>
      <c r="RXK265" s="35"/>
      <c r="SHF265" s="35"/>
      <c r="SHG265" s="35"/>
      <c r="SRB265" s="35"/>
      <c r="SRC265" s="35"/>
      <c r="TAX265" s="35"/>
      <c r="TAY265" s="35"/>
      <c r="TKT265" s="35"/>
      <c r="TKU265" s="35"/>
      <c r="TUP265" s="35"/>
      <c r="TUQ265" s="35"/>
      <c r="UEL265" s="35"/>
      <c r="UEM265" s="35"/>
      <c r="UOH265" s="35"/>
      <c r="UOI265" s="35"/>
      <c r="UYD265" s="35"/>
      <c r="UYE265" s="35"/>
      <c r="VHZ265" s="35"/>
      <c r="VIA265" s="35"/>
      <c r="VRV265" s="35"/>
      <c r="VRW265" s="35"/>
      <c r="WBR265" s="35"/>
      <c r="WBS265" s="35"/>
      <c r="WLN265" s="35"/>
      <c r="WLO265" s="35"/>
      <c r="WVJ265" s="35"/>
      <c r="WVK265" s="35"/>
    </row>
    <row r="266" spans="1:771 1026:1795 2050:2819 3074:3843 4098:4867 5122:5891 6146:6915 7170:7939 8194:8963 9218:9987 10242:11011 11266:12035 12290:13059 13314:14083 14338:15107 15362:16131" s="35" customFormat="1" ht="55.2" x14ac:dyDescent="0.3">
      <c r="A266" s="28">
        <v>21</v>
      </c>
      <c r="B266" s="29" t="s">
        <v>2169</v>
      </c>
      <c r="C266" s="30" t="s">
        <v>268</v>
      </c>
      <c r="D266" s="31" t="s">
        <v>13</v>
      </c>
      <c r="E266" s="32">
        <v>29.2</v>
      </c>
      <c r="F266" s="33"/>
      <c r="G266" s="33"/>
      <c r="H266" s="34" t="s">
        <v>269</v>
      </c>
    </row>
    <row r="267" spans="1:771 1026:1795 2050:2819 3074:3843 4098:4867 5122:5891 6146:6915 7170:7939 8194:8963 9218:9987 10242:11011 11266:12035 12290:13059 13314:14083 14338:15107 15362:16131" s="35" customFormat="1" ht="31.2" x14ac:dyDescent="0.3">
      <c r="A267" s="36"/>
      <c r="B267" s="37" t="s">
        <v>264</v>
      </c>
      <c r="C267" s="38" t="s">
        <v>14</v>
      </c>
      <c r="D267" s="39"/>
      <c r="E267" s="44"/>
      <c r="F267" s="40"/>
      <c r="G267" s="41">
        <f>SUM(G268)</f>
        <v>303796800</v>
      </c>
      <c r="H267" s="42"/>
    </row>
    <row r="268" spans="1:771 1026:1795 2050:2819 3074:3843 4098:4867 5122:5891 6146:6915 7170:7939 8194:8963 9218:9987 10242:11011 11266:12035 12290:13059 13314:14083 14338:15107 15362:16131" s="35" customFormat="1" ht="31.2" x14ac:dyDescent="0.3">
      <c r="A268" s="36"/>
      <c r="B268" s="37" t="s">
        <v>265</v>
      </c>
      <c r="C268" s="43" t="s">
        <v>55</v>
      </c>
      <c r="D268" s="39" t="s">
        <v>13</v>
      </c>
      <c r="E268" s="44">
        <v>29.2</v>
      </c>
      <c r="F268" s="153">
        <v>10404000</v>
      </c>
      <c r="G268" s="40">
        <f>E268*F268</f>
        <v>303796800</v>
      </c>
      <c r="H268" s="42"/>
    </row>
    <row r="269" spans="1:771 1026:1795 2050:2819 3074:3843 4098:4867 5122:5891 6146:6915 7170:7939 8194:8963 9218:9987 10242:11011 11266:12035 12290:13059 13314:14083 14338:15107 15362:16131" s="35" customFormat="1" ht="62.4" x14ac:dyDescent="0.3">
      <c r="A269" s="36"/>
      <c r="B269" s="46" t="s">
        <v>266</v>
      </c>
      <c r="C269" s="47" t="s">
        <v>35</v>
      </c>
      <c r="D269" s="39"/>
      <c r="E269" s="44"/>
      <c r="F269" s="40"/>
      <c r="G269" s="41">
        <f>SUM(G270:G275)</f>
        <v>9183273</v>
      </c>
      <c r="H269" s="45"/>
    </row>
    <row r="270" spans="1:771 1026:1795 2050:2819 3074:3843 4098:4867 5122:5891 6146:6915 7170:7939 8194:8963 9218:9987 10242:11011 11266:12035 12290:13059 13314:14083 14338:15107 15362:16131" s="35" customFormat="1" ht="46.8" x14ac:dyDescent="0.3">
      <c r="A270" s="36"/>
      <c r="B270" s="50" t="s">
        <v>267</v>
      </c>
      <c r="C270" s="48" t="s">
        <v>270</v>
      </c>
      <c r="D270" s="39" t="s">
        <v>13</v>
      </c>
      <c r="E270" s="44">
        <v>7.15</v>
      </c>
      <c r="F270" s="40"/>
      <c r="G270" s="40">
        <f t="shared" ref="G270:G275" si="6">E270*F270</f>
        <v>0</v>
      </c>
      <c r="H270" s="42" t="s">
        <v>2386</v>
      </c>
    </row>
    <row r="271" spans="1:771 1026:1795 2050:2819 3074:3843 4098:4867 5122:5891 6146:6915 7170:7939 8194:8963 9218:9987 10242:11011 11266:12035 12290:13059 13314:14083 14338:15107 15362:16131" s="35" customFormat="1" ht="18.600000000000001" x14ac:dyDescent="0.3">
      <c r="A271" s="36"/>
      <c r="B271" s="46"/>
      <c r="C271" s="48" t="s">
        <v>271</v>
      </c>
      <c r="D271" s="39" t="s">
        <v>128</v>
      </c>
      <c r="E271" s="44">
        <v>0.38500000000000001</v>
      </c>
      <c r="F271" s="40">
        <v>1533000</v>
      </c>
      <c r="G271" s="40">
        <f t="shared" si="6"/>
        <v>590205</v>
      </c>
      <c r="H271" s="52"/>
    </row>
    <row r="272" spans="1:771 1026:1795 2050:2819 3074:3843 4098:4867 5122:5891 6146:6915 7170:7939 8194:8963 9218:9987 10242:11011 11266:12035 12290:13059 13314:14083 14338:15107 15362:16131" s="35" customFormat="1" ht="18.600000000000001" x14ac:dyDescent="0.3">
      <c r="A272" s="36"/>
      <c r="B272" s="46"/>
      <c r="C272" s="48" t="s">
        <v>187</v>
      </c>
      <c r="D272" s="39" t="s">
        <v>128</v>
      </c>
      <c r="E272" s="44">
        <f>0.4*0.4*2.4*2</f>
        <v>0.76800000000000013</v>
      </c>
      <c r="F272" s="40">
        <v>1946000</v>
      </c>
      <c r="G272" s="40">
        <f t="shared" si="6"/>
        <v>1494528.0000000002</v>
      </c>
      <c r="H272" s="52"/>
    </row>
    <row r="273" spans="1:771 1026:1795 2050:2819 3074:3843 4098:4867 5122:5891 6146:6915 7170:7939 8194:8963 9218:9987 10242:11011 11266:12035 12290:13059 13314:14083 14338:15107 15362:16131" s="35" customFormat="1" ht="18.600000000000001" x14ac:dyDescent="0.3">
      <c r="A273" s="36"/>
      <c r="B273" s="46"/>
      <c r="C273" s="48" t="s">
        <v>272</v>
      </c>
      <c r="D273" s="39" t="s">
        <v>13</v>
      </c>
      <c r="E273" s="44">
        <f>0.4*2.4*8</f>
        <v>7.68</v>
      </c>
      <c r="F273" s="40">
        <v>400000</v>
      </c>
      <c r="G273" s="40">
        <f t="shared" si="6"/>
        <v>3072000</v>
      </c>
      <c r="H273" s="52"/>
    </row>
    <row r="274" spans="1:771 1026:1795 2050:2819 3074:3843 4098:4867 5122:5891 6146:6915 7170:7939 8194:8963 9218:9987 10242:11011 11266:12035 12290:13059 13314:14083 14338:15107 15362:16131" s="35" customFormat="1" ht="18.600000000000001" x14ac:dyDescent="0.3">
      <c r="A274" s="36"/>
      <c r="B274" s="46"/>
      <c r="C274" s="48" t="s">
        <v>273</v>
      </c>
      <c r="D274" s="39" t="s">
        <v>13</v>
      </c>
      <c r="E274" s="44">
        <f>2.65*4.2</f>
        <v>11.13</v>
      </c>
      <c r="F274" s="40">
        <v>258000</v>
      </c>
      <c r="G274" s="40">
        <f t="shared" si="6"/>
        <v>2871540</v>
      </c>
      <c r="H274" s="52"/>
    </row>
    <row r="275" spans="1:771 1026:1795 2050:2819 3074:3843 4098:4867 5122:5891 6146:6915 7170:7939 8194:8963 9218:9987 10242:11011 11266:12035 12290:13059 13314:14083 14338:15107 15362:16131" s="35" customFormat="1" ht="18.600000000000001" x14ac:dyDescent="0.3">
      <c r="A275" s="36"/>
      <c r="B275" s="46"/>
      <c r="C275" s="48" t="s">
        <v>274</v>
      </c>
      <c r="D275" s="39" t="s">
        <v>13</v>
      </c>
      <c r="E275" s="44">
        <f>5.5*2.1</f>
        <v>11.55</v>
      </c>
      <c r="F275" s="40">
        <v>100000</v>
      </c>
      <c r="G275" s="40">
        <f t="shared" si="6"/>
        <v>1155000</v>
      </c>
      <c r="H275" s="52"/>
    </row>
    <row r="276" spans="1:771 1026:1795 2050:2819 3074:3843 4098:4867 5122:5891 6146:6915 7170:7939 8194:8963 9218:9987 10242:11011 11266:12035 12290:13059 13314:14083 14338:15107 15362:16131" s="35" customFormat="1" x14ac:dyDescent="0.3">
      <c r="A276" s="36"/>
      <c r="B276" s="46"/>
      <c r="C276" s="51" t="s">
        <v>20</v>
      </c>
      <c r="D276" s="39"/>
      <c r="E276" s="44"/>
      <c r="F276" s="40"/>
      <c r="G276" s="41">
        <f>SUM(G277:G282)</f>
        <v>1945000</v>
      </c>
      <c r="H276" s="52"/>
    </row>
    <row r="277" spans="1:771 1026:1795 2050:2819 3074:3843 4098:4867 5122:5891 6146:6915 7170:7939 8194:8963 9218:9987 10242:11011 11266:12035 12290:13059 13314:14083 14338:15107 15362:16131" s="35" customFormat="1" x14ac:dyDescent="0.3">
      <c r="A277" s="36"/>
      <c r="B277" s="46"/>
      <c r="C277" s="50" t="s">
        <v>275</v>
      </c>
      <c r="D277" s="39" t="s">
        <v>21</v>
      </c>
      <c r="E277" s="44">
        <v>1</v>
      </c>
      <c r="F277" s="40">
        <v>626000</v>
      </c>
      <c r="G277" s="40">
        <f t="shared" ref="G277:G282" si="7">E277*F277</f>
        <v>626000</v>
      </c>
      <c r="H277" s="52"/>
    </row>
    <row r="278" spans="1:771 1026:1795 2050:2819 3074:3843 4098:4867 5122:5891 6146:6915 7170:7939 8194:8963 9218:9987 10242:11011 11266:12035 12290:13059 13314:14083 14338:15107 15362:16131" s="35" customFormat="1" x14ac:dyDescent="0.3">
      <c r="A278" s="36"/>
      <c r="B278" s="46"/>
      <c r="C278" s="50" t="s">
        <v>276</v>
      </c>
      <c r="D278" s="39" t="s">
        <v>21</v>
      </c>
      <c r="E278" s="44">
        <v>4</v>
      </c>
      <c r="F278" s="40">
        <v>34000</v>
      </c>
      <c r="G278" s="40">
        <f t="shared" si="7"/>
        <v>136000</v>
      </c>
      <c r="H278" s="52"/>
    </row>
    <row r="279" spans="1:771 1026:1795 2050:2819 3074:3843 4098:4867 5122:5891 6146:6915 7170:7939 8194:8963 9218:9987 10242:11011 11266:12035 12290:13059 13314:14083 14338:15107 15362:16131" s="35" customFormat="1" x14ac:dyDescent="0.3">
      <c r="A279" s="36"/>
      <c r="B279" s="46"/>
      <c r="C279" s="50" t="s">
        <v>277</v>
      </c>
      <c r="D279" s="39" t="s">
        <v>21</v>
      </c>
      <c r="E279" s="44">
        <v>1</v>
      </c>
      <c r="F279" s="40">
        <v>976000</v>
      </c>
      <c r="G279" s="40">
        <f t="shared" si="7"/>
        <v>976000</v>
      </c>
      <c r="H279" s="52"/>
    </row>
    <row r="280" spans="1:771 1026:1795 2050:2819 3074:3843 4098:4867 5122:5891 6146:6915 7170:7939 8194:8963 9218:9987 10242:11011 11266:12035 12290:13059 13314:14083 14338:15107 15362:16131" s="35" customFormat="1" x14ac:dyDescent="0.3">
      <c r="A280" s="36"/>
      <c r="B280" s="46"/>
      <c r="C280" s="50" t="s">
        <v>278</v>
      </c>
      <c r="D280" s="39" t="s">
        <v>21</v>
      </c>
      <c r="E280" s="44">
        <v>3</v>
      </c>
      <c r="F280" s="40">
        <v>65000</v>
      </c>
      <c r="G280" s="40">
        <f t="shared" si="7"/>
        <v>195000</v>
      </c>
      <c r="H280" s="52"/>
    </row>
    <row r="281" spans="1:771 1026:1795 2050:2819 3074:3843 4098:4867 5122:5891 6146:6915 7170:7939 8194:8963 9218:9987 10242:11011 11266:12035 12290:13059 13314:14083 14338:15107 15362:16131" s="35" customFormat="1" ht="18.600000000000001" x14ac:dyDescent="0.3">
      <c r="A281" s="36"/>
      <c r="B281" s="46"/>
      <c r="C281" s="50" t="s">
        <v>279</v>
      </c>
      <c r="D281" s="39" t="s">
        <v>13</v>
      </c>
      <c r="E281" s="44">
        <v>1</v>
      </c>
      <c r="F281" s="40">
        <v>6000</v>
      </c>
      <c r="G281" s="40">
        <f t="shared" si="7"/>
        <v>6000</v>
      </c>
      <c r="H281" s="52"/>
    </row>
    <row r="282" spans="1:771 1026:1795 2050:2819 3074:3843 4098:4867 5122:5891 6146:6915 7170:7939 8194:8963 9218:9987 10242:11011 11266:12035 12290:13059 13314:14083 14338:15107 15362:16131" s="35" customFormat="1" ht="18.600000000000001" x14ac:dyDescent="0.3">
      <c r="A282" s="36"/>
      <c r="B282" s="46"/>
      <c r="C282" s="50" t="s">
        <v>280</v>
      </c>
      <c r="D282" s="39" t="s">
        <v>13</v>
      </c>
      <c r="E282" s="44">
        <v>1</v>
      </c>
      <c r="F282" s="40">
        <v>6000</v>
      </c>
      <c r="G282" s="40">
        <f t="shared" si="7"/>
        <v>6000</v>
      </c>
      <c r="H282" s="52"/>
    </row>
    <row r="283" spans="1:771 1026:1795 2050:2819 3074:3843 4098:4867 5122:5891 6146:6915 7170:7939 8194:8963 9218:9987 10242:11011 11266:12035 12290:13059 13314:14083 14338:15107 15362:16131" s="35" customFormat="1" x14ac:dyDescent="0.3">
      <c r="A283" s="36"/>
      <c r="B283" s="46"/>
      <c r="C283" s="51" t="s">
        <v>23</v>
      </c>
      <c r="D283" s="39"/>
      <c r="E283" s="1"/>
      <c r="F283" s="2"/>
      <c r="G283" s="41">
        <f>SUM(G284)</f>
        <v>3060000</v>
      </c>
      <c r="H283" s="52"/>
    </row>
    <row r="284" spans="1:771 1026:1795 2050:2819 3074:3843 4098:4867 5122:5891 6146:6915 7170:7939 8194:8963 9218:9987 10242:11011 11266:12035 12290:13059 13314:14083 14338:15107 15362:16131" s="35" customFormat="1" x14ac:dyDescent="0.3">
      <c r="A284" s="36"/>
      <c r="B284" s="46"/>
      <c r="C284" s="50" t="s">
        <v>24</v>
      </c>
      <c r="D284" s="39" t="s">
        <v>25</v>
      </c>
      <c r="E284" s="1">
        <f>1*30*6</f>
        <v>180</v>
      </c>
      <c r="F284" s="2">
        <v>17000</v>
      </c>
      <c r="G284" s="40">
        <f>E284*F284</f>
        <v>3060000</v>
      </c>
      <c r="H284" s="42"/>
    </row>
    <row r="285" spans="1:771 1026:1795 2050:2819 3074:3843 4098:4867 5122:5891 6146:6915 7170:7939 8194:8963 9218:9987 10242:11011 11266:12035 12290:13059 13314:14083 14338:15107 15362:16131" s="35" customFormat="1" ht="65.400000000000006" thickBot="1" x14ac:dyDescent="0.35">
      <c r="A285" s="53"/>
      <c r="B285" s="54"/>
      <c r="C285" s="55" t="s">
        <v>2331</v>
      </c>
      <c r="D285" s="56"/>
      <c r="E285" s="5"/>
      <c r="F285" s="6"/>
      <c r="G285" s="57"/>
      <c r="H285" s="58"/>
    </row>
    <row r="286" spans="1:771 1026:1795 2050:2819 3074:3843 4098:4867 5122:5891 6146:6915 7170:7939 8194:8963 9218:9987 10242:11011 11266:12035 12290:13059 13314:14083 14338:15107 15362:16131" s="59" customFormat="1" ht="31.8" thickBot="1" x14ac:dyDescent="0.35">
      <c r="A286" s="154"/>
      <c r="B286" s="155" t="s">
        <v>26</v>
      </c>
      <c r="C286" s="156"/>
      <c r="D286" s="154"/>
      <c r="E286" s="157"/>
      <c r="F286" s="158"/>
      <c r="G286" s="159">
        <f>SUM(G266:G285)/2</f>
        <v>317985073</v>
      </c>
      <c r="H286" s="160"/>
      <c r="IX286" s="35"/>
      <c r="IY286" s="35"/>
      <c r="ST286" s="35"/>
      <c r="SU286" s="35"/>
      <c r="ACP286" s="35"/>
      <c r="ACQ286" s="35"/>
      <c r="AML286" s="35"/>
      <c r="AMM286" s="35"/>
      <c r="AWH286" s="35"/>
      <c r="AWI286" s="35"/>
      <c r="BGD286" s="35"/>
      <c r="BGE286" s="35"/>
      <c r="BPZ286" s="35"/>
      <c r="BQA286" s="35"/>
      <c r="BZV286" s="35"/>
      <c r="BZW286" s="35"/>
      <c r="CJR286" s="35"/>
      <c r="CJS286" s="35"/>
      <c r="CTN286" s="35"/>
      <c r="CTO286" s="35"/>
      <c r="DDJ286" s="35"/>
      <c r="DDK286" s="35"/>
      <c r="DNF286" s="35"/>
      <c r="DNG286" s="35"/>
      <c r="DXB286" s="35"/>
      <c r="DXC286" s="35"/>
      <c r="EGX286" s="35"/>
      <c r="EGY286" s="35"/>
      <c r="EQT286" s="35"/>
      <c r="EQU286" s="35"/>
      <c r="FAP286" s="35"/>
      <c r="FAQ286" s="35"/>
      <c r="FKL286" s="35"/>
      <c r="FKM286" s="35"/>
      <c r="FUH286" s="35"/>
      <c r="FUI286" s="35"/>
      <c r="GED286" s="35"/>
      <c r="GEE286" s="35"/>
      <c r="GNZ286" s="35"/>
      <c r="GOA286" s="35"/>
      <c r="GXV286" s="35"/>
      <c r="GXW286" s="35"/>
      <c r="HHR286" s="35"/>
      <c r="HHS286" s="35"/>
      <c r="HRN286" s="35"/>
      <c r="HRO286" s="35"/>
      <c r="IBJ286" s="35"/>
      <c r="IBK286" s="35"/>
      <c r="ILF286" s="35"/>
      <c r="ILG286" s="35"/>
      <c r="IVB286" s="35"/>
      <c r="IVC286" s="35"/>
      <c r="JEX286" s="35"/>
      <c r="JEY286" s="35"/>
      <c r="JOT286" s="35"/>
      <c r="JOU286" s="35"/>
      <c r="JYP286" s="35"/>
      <c r="JYQ286" s="35"/>
      <c r="KIL286" s="35"/>
      <c r="KIM286" s="35"/>
      <c r="KSH286" s="35"/>
      <c r="KSI286" s="35"/>
      <c r="LCD286" s="35"/>
      <c r="LCE286" s="35"/>
      <c r="LLZ286" s="35"/>
      <c r="LMA286" s="35"/>
      <c r="LVV286" s="35"/>
      <c r="LVW286" s="35"/>
      <c r="MFR286" s="35"/>
      <c r="MFS286" s="35"/>
      <c r="MPN286" s="35"/>
      <c r="MPO286" s="35"/>
      <c r="MZJ286" s="35"/>
      <c r="MZK286" s="35"/>
      <c r="NJF286" s="35"/>
      <c r="NJG286" s="35"/>
      <c r="NTB286" s="35"/>
      <c r="NTC286" s="35"/>
      <c r="OCX286" s="35"/>
      <c r="OCY286" s="35"/>
      <c r="OMT286" s="35"/>
      <c r="OMU286" s="35"/>
      <c r="OWP286" s="35"/>
      <c r="OWQ286" s="35"/>
      <c r="PGL286" s="35"/>
      <c r="PGM286" s="35"/>
      <c r="PQH286" s="35"/>
      <c r="PQI286" s="35"/>
      <c r="QAD286" s="35"/>
      <c r="QAE286" s="35"/>
      <c r="QJZ286" s="35"/>
      <c r="QKA286" s="35"/>
      <c r="QTV286" s="35"/>
      <c r="QTW286" s="35"/>
      <c r="RDR286" s="35"/>
      <c r="RDS286" s="35"/>
      <c r="RNN286" s="35"/>
      <c r="RNO286" s="35"/>
      <c r="RXJ286" s="35"/>
      <c r="RXK286" s="35"/>
      <c r="SHF286" s="35"/>
      <c r="SHG286" s="35"/>
      <c r="SRB286" s="35"/>
      <c r="SRC286" s="35"/>
      <c r="TAX286" s="35"/>
      <c r="TAY286" s="35"/>
      <c r="TKT286" s="35"/>
      <c r="TKU286" s="35"/>
      <c r="TUP286" s="35"/>
      <c r="TUQ286" s="35"/>
      <c r="UEL286" s="35"/>
      <c r="UEM286" s="35"/>
      <c r="UOH286" s="35"/>
      <c r="UOI286" s="35"/>
      <c r="UYD286" s="35"/>
      <c r="UYE286" s="35"/>
      <c r="VHZ286" s="35"/>
      <c r="VIA286" s="35"/>
      <c r="VRV286" s="35"/>
      <c r="VRW286" s="35"/>
      <c r="WBR286" s="35"/>
      <c r="WBS286" s="35"/>
      <c r="WLN286" s="35"/>
      <c r="WLO286" s="35"/>
      <c r="WVJ286" s="35"/>
      <c r="WVK286" s="35"/>
    </row>
    <row r="287" spans="1:771 1026:1795 2050:2819 3074:3843 4098:4867 5122:5891 6146:6915 7170:7939 8194:8963 9218:9987 10242:11011 11266:12035 12290:13059 13314:14083 14338:15107 15362:16131" s="35" customFormat="1" ht="55.2" x14ac:dyDescent="0.3">
      <c r="A287" s="28">
        <v>22</v>
      </c>
      <c r="B287" s="29" t="s">
        <v>281</v>
      </c>
      <c r="C287" s="30" t="s">
        <v>286</v>
      </c>
      <c r="D287" s="31" t="s">
        <v>13</v>
      </c>
      <c r="E287" s="32">
        <v>26.8</v>
      </c>
      <c r="F287" s="33"/>
      <c r="G287" s="33"/>
      <c r="H287" s="34" t="s">
        <v>287</v>
      </c>
    </row>
    <row r="288" spans="1:771 1026:1795 2050:2819 3074:3843 4098:4867 5122:5891 6146:6915 7170:7939 8194:8963 9218:9987 10242:11011 11266:12035 12290:13059 13314:14083 14338:15107 15362:16131" s="35" customFormat="1" ht="31.2" x14ac:dyDescent="0.3">
      <c r="A288" s="36"/>
      <c r="B288" s="37" t="s">
        <v>282</v>
      </c>
      <c r="C288" s="38" t="s">
        <v>14</v>
      </c>
      <c r="D288" s="39"/>
      <c r="E288" s="44"/>
      <c r="F288" s="40"/>
      <c r="G288" s="41">
        <f>SUM(G289:G291)</f>
        <v>391190400</v>
      </c>
      <c r="H288" s="42"/>
    </row>
    <row r="289" spans="1:771 1026:1795 2050:2819 3074:3843 4098:4867 5122:5891 6146:6915 7170:7939 8194:8963 9218:9987 10242:11011 11266:12035 12290:13059 13314:14083 14338:15107 15362:16131" s="35" customFormat="1" ht="31.2" x14ac:dyDescent="0.3">
      <c r="A289" s="36"/>
      <c r="B289" s="37" t="s">
        <v>283</v>
      </c>
      <c r="C289" s="43" t="s">
        <v>55</v>
      </c>
      <c r="D289" s="39" t="s">
        <v>13</v>
      </c>
      <c r="E289" s="44">
        <v>26.8</v>
      </c>
      <c r="F289" s="153">
        <v>10404000</v>
      </c>
      <c r="G289" s="40">
        <f>E289*F289</f>
        <v>278827200</v>
      </c>
      <c r="H289" s="42"/>
    </row>
    <row r="290" spans="1:771 1026:1795 2050:2819 3074:3843 4098:4867 5122:5891 6146:6915 7170:7939 8194:8963 9218:9987 10242:11011 11266:12035 12290:13059 13314:14083 14338:15107 15362:16131" s="35" customFormat="1" ht="41.4" x14ac:dyDescent="0.3">
      <c r="A290" s="36"/>
      <c r="B290" s="70"/>
      <c r="C290" s="48" t="s">
        <v>2336</v>
      </c>
      <c r="D290" s="39" t="s">
        <v>13</v>
      </c>
      <c r="E290" s="44">
        <v>10.8</v>
      </c>
      <c r="F290" s="40"/>
      <c r="G290" s="40"/>
      <c r="H290" s="42" t="s">
        <v>1442</v>
      </c>
    </row>
    <row r="291" spans="1:771 1026:1795 2050:2819 3074:3843 4098:4867 5122:5891 6146:6915 7170:7939 8194:8963 9218:9987 10242:11011 11266:12035 12290:13059 13314:14083 14338:15107 15362:16131" s="35" customFormat="1" ht="31.2" x14ac:dyDescent="0.3">
      <c r="A291" s="36"/>
      <c r="B291" s="72"/>
      <c r="C291" s="43" t="s">
        <v>55</v>
      </c>
      <c r="D291" s="39" t="s">
        <v>13</v>
      </c>
      <c r="E291" s="44">
        <v>10.8</v>
      </c>
      <c r="F291" s="153">
        <v>10404000</v>
      </c>
      <c r="G291" s="40">
        <f>E291*F291</f>
        <v>112363200</v>
      </c>
      <c r="H291" s="42"/>
    </row>
    <row r="292" spans="1:771 1026:1795 2050:2819 3074:3843 4098:4867 5122:5891 6146:6915 7170:7939 8194:8963 9218:9987 10242:11011 11266:12035 12290:13059 13314:14083 14338:15107 15362:16131" s="35" customFormat="1" ht="62.4" x14ac:dyDescent="0.3">
      <c r="A292" s="36"/>
      <c r="B292" s="46" t="s">
        <v>284</v>
      </c>
      <c r="C292" s="47" t="s">
        <v>35</v>
      </c>
      <c r="D292" s="39"/>
      <c r="E292" s="44"/>
      <c r="F292" s="40"/>
      <c r="G292" s="41">
        <f>SUM(G293:G294)</f>
        <v>0</v>
      </c>
      <c r="H292" s="45"/>
    </row>
    <row r="293" spans="1:771 1026:1795 2050:2819 3074:3843 4098:4867 5122:5891 6146:6915 7170:7939 8194:8963 9218:9987 10242:11011 11266:12035 12290:13059 13314:14083 14338:15107 15362:16131" s="35" customFormat="1" ht="46.8" x14ac:dyDescent="0.3">
      <c r="A293" s="36"/>
      <c r="B293" s="50" t="s">
        <v>285</v>
      </c>
      <c r="C293" s="48" t="s">
        <v>288</v>
      </c>
      <c r="D293" s="39" t="s">
        <v>13</v>
      </c>
      <c r="E293" s="44">
        <v>26.6</v>
      </c>
      <c r="F293" s="40"/>
      <c r="G293" s="40">
        <f>E293*F293</f>
        <v>0</v>
      </c>
      <c r="H293" s="42" t="s">
        <v>2387</v>
      </c>
    </row>
    <row r="294" spans="1:771 1026:1795 2050:2819 3074:3843 4098:4867 5122:5891 6146:6915 7170:7939 8194:8963 9218:9987 10242:11011 11266:12035 12290:13059 13314:14083 14338:15107 15362:16131" s="35" customFormat="1" ht="46.8" x14ac:dyDescent="0.3">
      <c r="A294" s="36"/>
      <c r="B294" s="38"/>
      <c r="C294" s="66" t="s">
        <v>1693</v>
      </c>
      <c r="D294" s="39" t="s">
        <v>13</v>
      </c>
      <c r="E294" s="73">
        <v>10.97</v>
      </c>
      <c r="F294" s="74"/>
      <c r="G294" s="40">
        <f>E294*F294</f>
        <v>0</v>
      </c>
      <c r="H294" s="45" t="s">
        <v>2388</v>
      </c>
    </row>
    <row r="295" spans="1:771 1026:1795 2050:2819 3074:3843 4098:4867 5122:5891 6146:6915 7170:7939 8194:8963 9218:9987 10242:11011 11266:12035 12290:13059 13314:14083 14338:15107 15362:16131" s="35" customFormat="1" x14ac:dyDescent="0.3">
      <c r="A295" s="36"/>
      <c r="B295" s="46"/>
      <c r="C295" s="51" t="s">
        <v>23</v>
      </c>
      <c r="D295" s="39"/>
      <c r="E295" s="1"/>
      <c r="F295" s="2"/>
      <c r="G295" s="41">
        <f>SUM(G296)</f>
        <v>6120000</v>
      </c>
      <c r="H295" s="52"/>
    </row>
    <row r="296" spans="1:771 1026:1795 2050:2819 3074:3843 4098:4867 5122:5891 6146:6915 7170:7939 8194:8963 9218:9987 10242:11011 11266:12035 12290:13059 13314:14083 14338:15107 15362:16131" s="35" customFormat="1" x14ac:dyDescent="0.3">
      <c r="A296" s="36"/>
      <c r="B296" s="46"/>
      <c r="C296" s="50" t="s">
        <v>24</v>
      </c>
      <c r="D296" s="39" t="s">
        <v>25</v>
      </c>
      <c r="E296" s="1">
        <f>2*30*6</f>
        <v>360</v>
      </c>
      <c r="F296" s="2">
        <v>17000</v>
      </c>
      <c r="G296" s="40">
        <f>E296*F296</f>
        <v>6120000</v>
      </c>
      <c r="H296" s="42"/>
    </row>
    <row r="297" spans="1:771 1026:1795 2050:2819 3074:3843 4098:4867 5122:5891 6146:6915 7170:7939 8194:8963 9218:9987 10242:11011 11266:12035 12290:13059 13314:14083 14338:15107 15362:16131" s="35" customFormat="1" ht="65.400000000000006" thickBot="1" x14ac:dyDescent="0.35">
      <c r="A297" s="53"/>
      <c r="B297" s="54"/>
      <c r="C297" s="55" t="s">
        <v>2331</v>
      </c>
      <c r="D297" s="56"/>
      <c r="E297" s="5"/>
      <c r="F297" s="6"/>
      <c r="G297" s="57"/>
      <c r="H297" s="58"/>
    </row>
    <row r="298" spans="1:771 1026:1795 2050:2819 3074:3843 4098:4867 5122:5891 6146:6915 7170:7939 8194:8963 9218:9987 10242:11011 11266:12035 12290:13059 13314:14083 14338:15107 15362:16131" s="59" customFormat="1" ht="31.8" thickBot="1" x14ac:dyDescent="0.35">
      <c r="A298" s="154"/>
      <c r="B298" s="155" t="s">
        <v>26</v>
      </c>
      <c r="C298" s="156"/>
      <c r="D298" s="154"/>
      <c r="E298" s="157"/>
      <c r="F298" s="158"/>
      <c r="G298" s="159">
        <f>SUM(G287:G297)/2</f>
        <v>397310400</v>
      </c>
      <c r="H298" s="160"/>
      <c r="IX298" s="35"/>
      <c r="IY298" s="35"/>
      <c r="ST298" s="35"/>
      <c r="SU298" s="35"/>
      <c r="ACP298" s="35"/>
      <c r="ACQ298" s="35"/>
      <c r="AML298" s="35"/>
      <c r="AMM298" s="35"/>
      <c r="AWH298" s="35"/>
      <c r="AWI298" s="35"/>
      <c r="BGD298" s="35"/>
      <c r="BGE298" s="35"/>
      <c r="BPZ298" s="35"/>
      <c r="BQA298" s="35"/>
      <c r="BZV298" s="35"/>
      <c r="BZW298" s="35"/>
      <c r="CJR298" s="35"/>
      <c r="CJS298" s="35"/>
      <c r="CTN298" s="35"/>
      <c r="CTO298" s="35"/>
      <c r="DDJ298" s="35"/>
      <c r="DDK298" s="35"/>
      <c r="DNF298" s="35"/>
      <c r="DNG298" s="35"/>
      <c r="DXB298" s="35"/>
      <c r="DXC298" s="35"/>
      <c r="EGX298" s="35"/>
      <c r="EGY298" s="35"/>
      <c r="EQT298" s="35"/>
      <c r="EQU298" s="35"/>
      <c r="FAP298" s="35"/>
      <c r="FAQ298" s="35"/>
      <c r="FKL298" s="35"/>
      <c r="FKM298" s="35"/>
      <c r="FUH298" s="35"/>
      <c r="FUI298" s="35"/>
      <c r="GED298" s="35"/>
      <c r="GEE298" s="35"/>
      <c r="GNZ298" s="35"/>
      <c r="GOA298" s="35"/>
      <c r="GXV298" s="35"/>
      <c r="GXW298" s="35"/>
      <c r="HHR298" s="35"/>
      <c r="HHS298" s="35"/>
      <c r="HRN298" s="35"/>
      <c r="HRO298" s="35"/>
      <c r="IBJ298" s="35"/>
      <c r="IBK298" s="35"/>
      <c r="ILF298" s="35"/>
      <c r="ILG298" s="35"/>
      <c r="IVB298" s="35"/>
      <c r="IVC298" s="35"/>
      <c r="JEX298" s="35"/>
      <c r="JEY298" s="35"/>
      <c r="JOT298" s="35"/>
      <c r="JOU298" s="35"/>
      <c r="JYP298" s="35"/>
      <c r="JYQ298" s="35"/>
      <c r="KIL298" s="35"/>
      <c r="KIM298" s="35"/>
      <c r="KSH298" s="35"/>
      <c r="KSI298" s="35"/>
      <c r="LCD298" s="35"/>
      <c r="LCE298" s="35"/>
      <c r="LLZ298" s="35"/>
      <c r="LMA298" s="35"/>
      <c r="LVV298" s="35"/>
      <c r="LVW298" s="35"/>
      <c r="MFR298" s="35"/>
      <c r="MFS298" s="35"/>
      <c r="MPN298" s="35"/>
      <c r="MPO298" s="35"/>
      <c r="MZJ298" s="35"/>
      <c r="MZK298" s="35"/>
      <c r="NJF298" s="35"/>
      <c r="NJG298" s="35"/>
      <c r="NTB298" s="35"/>
      <c r="NTC298" s="35"/>
      <c r="OCX298" s="35"/>
      <c r="OCY298" s="35"/>
      <c r="OMT298" s="35"/>
      <c r="OMU298" s="35"/>
      <c r="OWP298" s="35"/>
      <c r="OWQ298" s="35"/>
      <c r="PGL298" s="35"/>
      <c r="PGM298" s="35"/>
      <c r="PQH298" s="35"/>
      <c r="PQI298" s="35"/>
      <c r="QAD298" s="35"/>
      <c r="QAE298" s="35"/>
      <c r="QJZ298" s="35"/>
      <c r="QKA298" s="35"/>
      <c r="QTV298" s="35"/>
      <c r="QTW298" s="35"/>
      <c r="RDR298" s="35"/>
      <c r="RDS298" s="35"/>
      <c r="RNN298" s="35"/>
      <c r="RNO298" s="35"/>
      <c r="RXJ298" s="35"/>
      <c r="RXK298" s="35"/>
      <c r="SHF298" s="35"/>
      <c r="SHG298" s="35"/>
      <c r="SRB298" s="35"/>
      <c r="SRC298" s="35"/>
      <c r="TAX298" s="35"/>
      <c r="TAY298" s="35"/>
      <c r="TKT298" s="35"/>
      <c r="TKU298" s="35"/>
      <c r="TUP298" s="35"/>
      <c r="TUQ298" s="35"/>
      <c r="UEL298" s="35"/>
      <c r="UEM298" s="35"/>
      <c r="UOH298" s="35"/>
      <c r="UOI298" s="35"/>
      <c r="UYD298" s="35"/>
      <c r="UYE298" s="35"/>
      <c r="VHZ298" s="35"/>
      <c r="VIA298" s="35"/>
      <c r="VRV298" s="35"/>
      <c r="VRW298" s="35"/>
      <c r="WBR298" s="35"/>
      <c r="WBS298" s="35"/>
      <c r="WLN298" s="35"/>
      <c r="WLO298" s="35"/>
      <c r="WVJ298" s="35"/>
      <c r="WVK298" s="35"/>
    </row>
    <row r="299" spans="1:771 1026:1795 2050:2819 3074:3843 4098:4867 5122:5891 6146:6915 7170:7939 8194:8963 9218:9987 10242:11011 11266:12035 12290:13059 13314:14083 14338:15107 15362:16131" s="35" customFormat="1" ht="55.2" x14ac:dyDescent="0.3">
      <c r="A299" s="28">
        <v>23</v>
      </c>
      <c r="B299" s="29" t="s">
        <v>289</v>
      </c>
      <c r="C299" s="30" t="s">
        <v>2147</v>
      </c>
      <c r="D299" s="31" t="s">
        <v>13</v>
      </c>
      <c r="E299" s="32">
        <v>35.1</v>
      </c>
      <c r="F299" s="33"/>
      <c r="G299" s="33"/>
      <c r="H299" s="34" t="s">
        <v>294</v>
      </c>
    </row>
    <row r="300" spans="1:771 1026:1795 2050:2819 3074:3843 4098:4867 5122:5891 6146:6915 7170:7939 8194:8963 9218:9987 10242:11011 11266:12035 12290:13059 13314:14083 14338:15107 15362:16131" s="35" customFormat="1" ht="31.2" x14ac:dyDescent="0.3">
      <c r="A300" s="36"/>
      <c r="B300" s="37" t="s">
        <v>290</v>
      </c>
      <c r="C300" s="38" t="s">
        <v>14</v>
      </c>
      <c r="D300" s="39"/>
      <c r="E300" s="44"/>
      <c r="F300" s="40"/>
      <c r="G300" s="41">
        <f>SUM(G301)</f>
        <v>683712900</v>
      </c>
      <c r="H300" s="42"/>
    </row>
    <row r="301" spans="1:771 1026:1795 2050:2819 3074:3843 4098:4867 5122:5891 6146:6915 7170:7939 8194:8963 9218:9987 10242:11011 11266:12035 12290:13059 13314:14083 14338:15107 15362:16131" s="35" customFormat="1" ht="18.600000000000001" x14ac:dyDescent="0.3">
      <c r="A301" s="36"/>
      <c r="B301" s="50"/>
      <c r="C301" s="48" t="s">
        <v>38</v>
      </c>
      <c r="D301" s="39" t="s">
        <v>13</v>
      </c>
      <c r="E301" s="44">
        <v>35.1</v>
      </c>
      <c r="F301" s="161">
        <v>19479000</v>
      </c>
      <c r="G301" s="40">
        <f>E301*F301</f>
        <v>683712900</v>
      </c>
      <c r="H301" s="42"/>
    </row>
    <row r="302" spans="1:771 1026:1795 2050:2819 3074:3843 4098:4867 5122:5891 6146:6915 7170:7939 8194:8963 9218:9987 10242:11011 11266:12035 12290:13059 13314:14083 14338:15107 15362:16131" s="35" customFormat="1" x14ac:dyDescent="0.3">
      <c r="A302" s="36"/>
      <c r="B302" s="37" t="s">
        <v>291</v>
      </c>
      <c r="C302" s="47" t="s">
        <v>35</v>
      </c>
      <c r="D302" s="39"/>
      <c r="E302" s="44"/>
      <c r="F302" s="40"/>
      <c r="G302" s="41">
        <f>SUM(G303:G304)</f>
        <v>1778279.9999999998</v>
      </c>
      <c r="H302" s="45"/>
    </row>
    <row r="303" spans="1:771 1026:1795 2050:2819 3074:3843 4098:4867 5122:5891 6146:6915 7170:7939 8194:8963 9218:9987 10242:11011 11266:12035 12290:13059 13314:14083 14338:15107 15362:16131" s="35" customFormat="1" ht="46.8" x14ac:dyDescent="0.3">
      <c r="A303" s="36"/>
      <c r="B303" s="46" t="s">
        <v>292</v>
      </c>
      <c r="C303" s="48" t="s">
        <v>260</v>
      </c>
      <c r="D303" s="39" t="s">
        <v>128</v>
      </c>
      <c r="E303" s="44">
        <f>2*5.8*0.1</f>
        <v>1.1599999999999999</v>
      </c>
      <c r="F303" s="40">
        <v>1533000</v>
      </c>
      <c r="G303" s="40">
        <f>E303*F303</f>
        <v>1778279.9999999998</v>
      </c>
      <c r="H303" s="52"/>
    </row>
    <row r="304" spans="1:771 1026:1795 2050:2819 3074:3843 4098:4867 5122:5891 6146:6915 7170:7939 8194:8963 9218:9987 10242:11011 11266:12035 12290:13059 13314:14083 14338:15107 15362:16131" s="35" customFormat="1" ht="18.600000000000001" x14ac:dyDescent="0.3">
      <c r="A304" s="36"/>
      <c r="B304" s="50" t="s">
        <v>293</v>
      </c>
      <c r="C304" s="48" t="s">
        <v>295</v>
      </c>
      <c r="D304" s="39" t="s">
        <v>128</v>
      </c>
      <c r="E304" s="44">
        <f>2*10.6*0.05</f>
        <v>1.06</v>
      </c>
      <c r="F304" s="40"/>
      <c r="G304" s="40">
        <f>E304*F304</f>
        <v>0</v>
      </c>
      <c r="H304" s="52" t="s">
        <v>2389</v>
      </c>
    </row>
    <row r="305" spans="1:771 1026:1795 2050:2819 3074:3843 4098:4867 5122:5891 6146:6915 7170:7939 8194:8963 9218:9987 10242:11011 11266:12035 12290:13059 13314:14083 14338:15107 15362:16131" s="35" customFormat="1" ht="65.400000000000006" thickBot="1" x14ac:dyDescent="0.35">
      <c r="A305" s="53"/>
      <c r="B305" s="54"/>
      <c r="C305" s="55" t="s">
        <v>2331</v>
      </c>
      <c r="D305" s="56"/>
      <c r="E305" s="5"/>
      <c r="F305" s="6"/>
      <c r="G305" s="57"/>
      <c r="H305" s="58"/>
    </row>
    <row r="306" spans="1:771 1026:1795 2050:2819 3074:3843 4098:4867 5122:5891 6146:6915 7170:7939 8194:8963 9218:9987 10242:11011 11266:12035 12290:13059 13314:14083 14338:15107 15362:16131" s="59" customFormat="1" ht="31.8" thickBot="1" x14ac:dyDescent="0.35">
      <c r="A306" s="154"/>
      <c r="B306" s="155" t="s">
        <v>26</v>
      </c>
      <c r="C306" s="156"/>
      <c r="D306" s="154"/>
      <c r="E306" s="157"/>
      <c r="F306" s="158"/>
      <c r="G306" s="159">
        <f>SUM(G299:G305)/2</f>
        <v>685491180</v>
      </c>
      <c r="H306" s="160"/>
      <c r="IX306" s="35"/>
      <c r="IY306" s="35"/>
      <c r="ST306" s="35"/>
      <c r="SU306" s="35"/>
      <c r="ACP306" s="35"/>
      <c r="ACQ306" s="35"/>
      <c r="AML306" s="35"/>
      <c r="AMM306" s="35"/>
      <c r="AWH306" s="35"/>
      <c r="AWI306" s="35"/>
      <c r="BGD306" s="35"/>
      <c r="BGE306" s="35"/>
      <c r="BPZ306" s="35"/>
      <c r="BQA306" s="35"/>
      <c r="BZV306" s="35"/>
      <c r="BZW306" s="35"/>
      <c r="CJR306" s="35"/>
      <c r="CJS306" s="35"/>
      <c r="CTN306" s="35"/>
      <c r="CTO306" s="35"/>
      <c r="DDJ306" s="35"/>
      <c r="DDK306" s="35"/>
      <c r="DNF306" s="35"/>
      <c r="DNG306" s="35"/>
      <c r="DXB306" s="35"/>
      <c r="DXC306" s="35"/>
      <c r="EGX306" s="35"/>
      <c r="EGY306" s="35"/>
      <c r="EQT306" s="35"/>
      <c r="EQU306" s="35"/>
      <c r="FAP306" s="35"/>
      <c r="FAQ306" s="35"/>
      <c r="FKL306" s="35"/>
      <c r="FKM306" s="35"/>
      <c r="FUH306" s="35"/>
      <c r="FUI306" s="35"/>
      <c r="GED306" s="35"/>
      <c r="GEE306" s="35"/>
      <c r="GNZ306" s="35"/>
      <c r="GOA306" s="35"/>
      <c r="GXV306" s="35"/>
      <c r="GXW306" s="35"/>
      <c r="HHR306" s="35"/>
      <c r="HHS306" s="35"/>
      <c r="HRN306" s="35"/>
      <c r="HRO306" s="35"/>
      <c r="IBJ306" s="35"/>
      <c r="IBK306" s="35"/>
      <c r="ILF306" s="35"/>
      <c r="ILG306" s="35"/>
      <c r="IVB306" s="35"/>
      <c r="IVC306" s="35"/>
      <c r="JEX306" s="35"/>
      <c r="JEY306" s="35"/>
      <c r="JOT306" s="35"/>
      <c r="JOU306" s="35"/>
      <c r="JYP306" s="35"/>
      <c r="JYQ306" s="35"/>
      <c r="KIL306" s="35"/>
      <c r="KIM306" s="35"/>
      <c r="KSH306" s="35"/>
      <c r="KSI306" s="35"/>
      <c r="LCD306" s="35"/>
      <c r="LCE306" s="35"/>
      <c r="LLZ306" s="35"/>
      <c r="LMA306" s="35"/>
      <c r="LVV306" s="35"/>
      <c r="LVW306" s="35"/>
      <c r="MFR306" s="35"/>
      <c r="MFS306" s="35"/>
      <c r="MPN306" s="35"/>
      <c r="MPO306" s="35"/>
      <c r="MZJ306" s="35"/>
      <c r="MZK306" s="35"/>
      <c r="NJF306" s="35"/>
      <c r="NJG306" s="35"/>
      <c r="NTB306" s="35"/>
      <c r="NTC306" s="35"/>
      <c r="OCX306" s="35"/>
      <c r="OCY306" s="35"/>
      <c r="OMT306" s="35"/>
      <c r="OMU306" s="35"/>
      <c r="OWP306" s="35"/>
      <c r="OWQ306" s="35"/>
      <c r="PGL306" s="35"/>
      <c r="PGM306" s="35"/>
      <c r="PQH306" s="35"/>
      <c r="PQI306" s="35"/>
      <c r="QAD306" s="35"/>
      <c r="QAE306" s="35"/>
      <c r="QJZ306" s="35"/>
      <c r="QKA306" s="35"/>
      <c r="QTV306" s="35"/>
      <c r="QTW306" s="35"/>
      <c r="RDR306" s="35"/>
      <c r="RDS306" s="35"/>
      <c r="RNN306" s="35"/>
      <c r="RNO306" s="35"/>
      <c r="RXJ306" s="35"/>
      <c r="RXK306" s="35"/>
      <c r="SHF306" s="35"/>
      <c r="SHG306" s="35"/>
      <c r="SRB306" s="35"/>
      <c r="SRC306" s="35"/>
      <c r="TAX306" s="35"/>
      <c r="TAY306" s="35"/>
      <c r="TKT306" s="35"/>
      <c r="TKU306" s="35"/>
      <c r="TUP306" s="35"/>
      <c r="TUQ306" s="35"/>
      <c r="UEL306" s="35"/>
      <c r="UEM306" s="35"/>
      <c r="UOH306" s="35"/>
      <c r="UOI306" s="35"/>
      <c r="UYD306" s="35"/>
      <c r="UYE306" s="35"/>
      <c r="VHZ306" s="35"/>
      <c r="VIA306" s="35"/>
      <c r="VRV306" s="35"/>
      <c r="VRW306" s="35"/>
      <c r="WBR306" s="35"/>
      <c r="WBS306" s="35"/>
      <c r="WLN306" s="35"/>
      <c r="WLO306" s="35"/>
      <c r="WVJ306" s="35"/>
      <c r="WVK306" s="35"/>
    </row>
    <row r="307" spans="1:771 1026:1795 2050:2819 3074:3843 4098:4867 5122:5891 6146:6915 7170:7939 8194:8963 9218:9987 10242:11011 11266:12035 12290:13059 13314:14083 14338:15107 15362:16131" s="35" customFormat="1" ht="69" x14ac:dyDescent="0.3">
      <c r="A307" s="28">
        <v>24</v>
      </c>
      <c r="B307" s="29" t="s">
        <v>2171</v>
      </c>
      <c r="C307" s="30" t="s">
        <v>312</v>
      </c>
      <c r="D307" s="31" t="s">
        <v>13</v>
      </c>
      <c r="E307" s="32">
        <v>60.7</v>
      </c>
      <c r="F307" s="33"/>
      <c r="G307" s="33"/>
      <c r="H307" s="34" t="s">
        <v>300</v>
      </c>
    </row>
    <row r="308" spans="1:771 1026:1795 2050:2819 3074:3843 4098:4867 5122:5891 6146:6915 7170:7939 8194:8963 9218:9987 10242:11011 11266:12035 12290:13059 13314:14083 14338:15107 15362:16131" s="35" customFormat="1" ht="31.2" x14ac:dyDescent="0.3">
      <c r="A308" s="36"/>
      <c r="B308" s="37" t="s">
        <v>296</v>
      </c>
      <c r="C308" s="38" t="s">
        <v>14</v>
      </c>
      <c r="D308" s="39"/>
      <c r="E308" s="44"/>
      <c r="F308" s="40"/>
      <c r="G308" s="41">
        <f>SUM(G309)</f>
        <v>631522800</v>
      </c>
      <c r="H308" s="42"/>
    </row>
    <row r="309" spans="1:771 1026:1795 2050:2819 3074:3843 4098:4867 5122:5891 6146:6915 7170:7939 8194:8963 9218:9987 10242:11011 11266:12035 12290:13059 13314:14083 14338:15107 15362:16131" s="35" customFormat="1" ht="31.2" x14ac:dyDescent="0.3">
      <c r="A309" s="36"/>
      <c r="B309" s="37" t="s">
        <v>297</v>
      </c>
      <c r="C309" s="43" t="s">
        <v>55</v>
      </c>
      <c r="D309" s="39" t="s">
        <v>13</v>
      </c>
      <c r="E309" s="44">
        <v>60.7</v>
      </c>
      <c r="F309" s="153">
        <v>10404000</v>
      </c>
      <c r="G309" s="40">
        <f>E309*F309</f>
        <v>631522800</v>
      </c>
      <c r="H309" s="42"/>
    </row>
    <row r="310" spans="1:771 1026:1795 2050:2819 3074:3843 4098:4867 5122:5891 6146:6915 7170:7939 8194:8963 9218:9987 10242:11011 11266:12035 12290:13059 13314:14083 14338:15107 15362:16131" s="35" customFormat="1" ht="62.4" x14ac:dyDescent="0.3">
      <c r="A310" s="36"/>
      <c r="B310" s="46" t="s">
        <v>298</v>
      </c>
      <c r="C310" s="47" t="s">
        <v>35</v>
      </c>
      <c r="D310" s="39"/>
      <c r="E310" s="44"/>
      <c r="F310" s="40"/>
      <c r="G310" s="41">
        <f>SUM(G311:G317)</f>
        <v>11267777</v>
      </c>
      <c r="H310" s="45"/>
    </row>
    <row r="311" spans="1:771 1026:1795 2050:2819 3074:3843 4098:4867 5122:5891 6146:6915 7170:7939 8194:8963 9218:9987 10242:11011 11266:12035 12290:13059 13314:14083 14338:15107 15362:16131" s="35" customFormat="1" ht="31.2" x14ac:dyDescent="0.3">
      <c r="A311" s="36"/>
      <c r="B311" s="50" t="s">
        <v>299</v>
      </c>
      <c r="C311" s="48" t="s">
        <v>301</v>
      </c>
      <c r="D311" s="39" t="s">
        <v>13</v>
      </c>
      <c r="E311" s="44">
        <v>15.8</v>
      </c>
      <c r="F311" s="40"/>
      <c r="G311" s="40">
        <f t="shared" ref="G311:G317" si="8">E311*F311</f>
        <v>0</v>
      </c>
      <c r="H311" s="52" t="s">
        <v>302</v>
      </c>
    </row>
    <row r="312" spans="1:771 1026:1795 2050:2819 3074:3843 4098:4867 5122:5891 6146:6915 7170:7939 8194:8963 9218:9987 10242:11011 11266:12035 12290:13059 13314:14083 14338:15107 15362:16131" s="35" customFormat="1" ht="46.8" x14ac:dyDescent="0.3">
      <c r="A312" s="36"/>
      <c r="B312" s="46"/>
      <c r="C312" s="48" t="s">
        <v>303</v>
      </c>
      <c r="D312" s="39" t="s">
        <v>13</v>
      </c>
      <c r="E312" s="44">
        <v>14</v>
      </c>
      <c r="F312" s="40"/>
      <c r="G312" s="40">
        <f t="shared" si="8"/>
        <v>0</v>
      </c>
      <c r="H312" s="52" t="s">
        <v>304</v>
      </c>
    </row>
    <row r="313" spans="1:771 1026:1795 2050:2819 3074:3843 4098:4867 5122:5891 6146:6915 7170:7939 8194:8963 9218:9987 10242:11011 11266:12035 12290:13059 13314:14083 14338:15107 15362:16131" s="35" customFormat="1" ht="31.2" x14ac:dyDescent="0.3">
      <c r="A313" s="36"/>
      <c r="B313" s="46"/>
      <c r="C313" s="48" t="s">
        <v>220</v>
      </c>
      <c r="D313" s="39" t="s">
        <v>13</v>
      </c>
      <c r="E313" s="44">
        <f>4.1*1.9</f>
        <v>7.7899999999999991</v>
      </c>
      <c r="F313" s="40">
        <v>361000</v>
      </c>
      <c r="G313" s="40">
        <f t="shared" si="8"/>
        <v>2812189.9999999995</v>
      </c>
      <c r="H313" s="52"/>
    </row>
    <row r="314" spans="1:771 1026:1795 2050:2819 3074:3843 4098:4867 5122:5891 6146:6915 7170:7939 8194:8963 9218:9987 10242:11011 11266:12035 12290:13059 13314:14083 14338:15107 15362:16131" s="35" customFormat="1" ht="18.600000000000001" x14ac:dyDescent="0.3">
      <c r="A314" s="36"/>
      <c r="B314" s="46"/>
      <c r="C314" s="48" t="s">
        <v>305</v>
      </c>
      <c r="D314" s="39" t="s">
        <v>13</v>
      </c>
      <c r="E314" s="44">
        <f>3.9*5.5</f>
        <v>21.45</v>
      </c>
      <c r="F314" s="40">
        <v>140000</v>
      </c>
      <c r="G314" s="40">
        <f t="shared" si="8"/>
        <v>3003000</v>
      </c>
      <c r="H314" s="52"/>
    </row>
    <row r="315" spans="1:771 1026:1795 2050:2819 3074:3843 4098:4867 5122:5891 6146:6915 7170:7939 8194:8963 9218:9987 10242:11011 11266:12035 12290:13059 13314:14083 14338:15107 15362:16131" s="35" customFormat="1" ht="18.600000000000001" x14ac:dyDescent="0.3">
      <c r="A315" s="36"/>
      <c r="B315" s="46"/>
      <c r="C315" s="48" t="s">
        <v>187</v>
      </c>
      <c r="D315" s="39" t="s">
        <v>128</v>
      </c>
      <c r="E315" s="44">
        <f>(0.4*0.4*3.1)+(0.4*0.4*2.1)</f>
        <v>0.83200000000000018</v>
      </c>
      <c r="F315" s="40">
        <v>1946000</v>
      </c>
      <c r="G315" s="40">
        <f t="shared" si="8"/>
        <v>1619072.0000000005</v>
      </c>
      <c r="H315" s="52"/>
    </row>
    <row r="316" spans="1:771 1026:1795 2050:2819 3074:3843 4098:4867 5122:5891 6146:6915 7170:7939 8194:8963 9218:9987 10242:11011 11266:12035 12290:13059 13314:14083 14338:15107 15362:16131" s="35" customFormat="1" ht="18.600000000000001" x14ac:dyDescent="0.3">
      <c r="A316" s="36"/>
      <c r="B316" s="46"/>
      <c r="C316" s="48" t="s">
        <v>306</v>
      </c>
      <c r="D316" s="39" t="s">
        <v>13</v>
      </c>
      <c r="E316" s="44">
        <f>1*4.9</f>
        <v>4.9000000000000004</v>
      </c>
      <c r="F316" s="40">
        <v>640000</v>
      </c>
      <c r="G316" s="40">
        <f t="shared" si="8"/>
        <v>3136000</v>
      </c>
      <c r="H316" s="52"/>
    </row>
    <row r="317" spans="1:771 1026:1795 2050:2819 3074:3843 4098:4867 5122:5891 6146:6915 7170:7939 8194:8963 9218:9987 10242:11011 11266:12035 12290:13059 13314:14083 14338:15107 15362:16131" s="35" customFormat="1" ht="18.600000000000001" x14ac:dyDescent="0.3">
      <c r="A317" s="36"/>
      <c r="B317" s="46"/>
      <c r="C317" s="48" t="s">
        <v>260</v>
      </c>
      <c r="D317" s="39" t="s">
        <v>128</v>
      </c>
      <c r="E317" s="44">
        <f>9.1*1*0.05</f>
        <v>0.45500000000000002</v>
      </c>
      <c r="F317" s="40">
        <v>1533000</v>
      </c>
      <c r="G317" s="40">
        <f t="shared" si="8"/>
        <v>697515</v>
      </c>
      <c r="H317" s="52"/>
    </row>
    <row r="318" spans="1:771 1026:1795 2050:2819 3074:3843 4098:4867 5122:5891 6146:6915 7170:7939 8194:8963 9218:9987 10242:11011 11266:12035 12290:13059 13314:14083 14338:15107 15362:16131" s="35" customFormat="1" x14ac:dyDescent="0.3">
      <c r="A318" s="36"/>
      <c r="B318" s="46"/>
      <c r="C318" s="51" t="s">
        <v>20</v>
      </c>
      <c r="D318" s="39"/>
      <c r="E318" s="44"/>
      <c r="F318" s="40"/>
      <c r="G318" s="41">
        <f>SUM(G319:G323)</f>
        <v>980000</v>
      </c>
      <c r="H318" s="52"/>
    </row>
    <row r="319" spans="1:771 1026:1795 2050:2819 3074:3843 4098:4867 5122:5891 6146:6915 7170:7939 8194:8963 9218:9987 10242:11011 11266:12035 12290:13059 13314:14083 14338:15107 15362:16131" s="35" customFormat="1" x14ac:dyDescent="0.3">
      <c r="A319" s="36"/>
      <c r="B319" s="46"/>
      <c r="C319" s="63" t="s">
        <v>307</v>
      </c>
      <c r="D319" s="39" t="s">
        <v>21</v>
      </c>
      <c r="E319" s="44">
        <v>1</v>
      </c>
      <c r="F319" s="40">
        <v>40000</v>
      </c>
      <c r="G319" s="40">
        <f>E319*F319</f>
        <v>40000</v>
      </c>
      <c r="H319" s="52"/>
    </row>
    <row r="320" spans="1:771 1026:1795 2050:2819 3074:3843 4098:4867 5122:5891 6146:6915 7170:7939 8194:8963 9218:9987 10242:11011 11266:12035 12290:13059 13314:14083 14338:15107 15362:16131" s="35" customFormat="1" ht="18.600000000000001" x14ac:dyDescent="0.3">
      <c r="A320" s="36"/>
      <c r="B320" s="46"/>
      <c r="C320" s="75" t="s">
        <v>308</v>
      </c>
      <c r="D320" s="39" t="s">
        <v>13</v>
      </c>
      <c r="E320" s="44">
        <v>4</v>
      </c>
      <c r="F320" s="40">
        <v>30000</v>
      </c>
      <c r="G320" s="40">
        <f>E320*F320</f>
        <v>120000</v>
      </c>
      <c r="H320" s="52"/>
    </row>
    <row r="321" spans="1:771 1026:1795 2050:2819 3074:3843 4098:4867 5122:5891 6146:6915 7170:7939 8194:8963 9218:9987 10242:11011 11266:12035 12290:13059 13314:14083 14338:15107 15362:16131" s="35" customFormat="1" x14ac:dyDescent="0.3">
      <c r="A321" s="36"/>
      <c r="B321" s="46"/>
      <c r="C321" s="75" t="s">
        <v>309</v>
      </c>
      <c r="D321" s="39" t="s">
        <v>21</v>
      </c>
      <c r="E321" s="44">
        <v>1</v>
      </c>
      <c r="F321" s="40">
        <v>600000</v>
      </c>
      <c r="G321" s="40">
        <f>E321*F321</f>
        <v>600000</v>
      </c>
      <c r="H321" s="52"/>
    </row>
    <row r="322" spans="1:771 1026:1795 2050:2819 3074:3843 4098:4867 5122:5891 6146:6915 7170:7939 8194:8963 9218:9987 10242:11011 11266:12035 12290:13059 13314:14083 14338:15107 15362:16131" s="77" customFormat="1" x14ac:dyDescent="0.3">
      <c r="A322" s="36"/>
      <c r="B322" s="37"/>
      <c r="C322" s="75" t="s">
        <v>310</v>
      </c>
      <c r="D322" s="76" t="s">
        <v>21</v>
      </c>
      <c r="E322" s="73">
        <v>1</v>
      </c>
      <c r="F322" s="74">
        <v>200000</v>
      </c>
      <c r="G322" s="40">
        <f>E322*F322</f>
        <v>200000</v>
      </c>
      <c r="H322" s="52"/>
    </row>
    <row r="323" spans="1:771 1026:1795 2050:2819 3074:3843 4098:4867 5122:5891 6146:6915 7170:7939 8194:8963 9218:9987 10242:11011 11266:12035 12290:13059 13314:14083 14338:15107 15362:16131" s="77" customFormat="1" x14ac:dyDescent="0.3">
      <c r="A323" s="36"/>
      <c r="B323" s="37"/>
      <c r="C323" s="75" t="s">
        <v>311</v>
      </c>
      <c r="D323" s="76" t="s">
        <v>22</v>
      </c>
      <c r="E323" s="73">
        <v>1</v>
      </c>
      <c r="F323" s="74">
        <v>20000</v>
      </c>
      <c r="G323" s="40">
        <f>E323*F323</f>
        <v>20000</v>
      </c>
      <c r="H323" s="52"/>
    </row>
    <row r="324" spans="1:771 1026:1795 2050:2819 3074:3843 4098:4867 5122:5891 6146:6915 7170:7939 8194:8963 9218:9987 10242:11011 11266:12035 12290:13059 13314:14083 14338:15107 15362:16131" s="35" customFormat="1" x14ac:dyDescent="0.3">
      <c r="A324" s="36"/>
      <c r="B324" s="46"/>
      <c r="C324" s="51" t="s">
        <v>23</v>
      </c>
      <c r="D324" s="39"/>
      <c r="E324" s="1"/>
      <c r="F324" s="2"/>
      <c r="G324" s="41">
        <f>SUM(G325)</f>
        <v>3060000</v>
      </c>
      <c r="H324" s="52"/>
    </row>
    <row r="325" spans="1:771 1026:1795 2050:2819 3074:3843 4098:4867 5122:5891 6146:6915 7170:7939 8194:8963 9218:9987 10242:11011 11266:12035 12290:13059 13314:14083 14338:15107 15362:16131" s="35" customFormat="1" x14ac:dyDescent="0.3">
      <c r="A325" s="36"/>
      <c r="B325" s="46"/>
      <c r="C325" s="50" t="s">
        <v>24</v>
      </c>
      <c r="D325" s="39" t="s">
        <v>25</v>
      </c>
      <c r="E325" s="1">
        <f>1*30*6</f>
        <v>180</v>
      </c>
      <c r="F325" s="2">
        <v>17000</v>
      </c>
      <c r="G325" s="40">
        <f>E325*F325</f>
        <v>3060000</v>
      </c>
      <c r="H325" s="42"/>
    </row>
    <row r="326" spans="1:771 1026:1795 2050:2819 3074:3843 4098:4867 5122:5891 6146:6915 7170:7939 8194:8963 9218:9987 10242:11011 11266:12035 12290:13059 13314:14083 14338:15107 15362:16131" s="35" customFormat="1" ht="65.400000000000006" thickBot="1" x14ac:dyDescent="0.35">
      <c r="A326" s="53"/>
      <c r="B326" s="54"/>
      <c r="C326" s="55" t="s">
        <v>2331</v>
      </c>
      <c r="D326" s="56"/>
      <c r="E326" s="5"/>
      <c r="F326" s="6"/>
      <c r="G326" s="57"/>
      <c r="H326" s="58"/>
    </row>
    <row r="327" spans="1:771 1026:1795 2050:2819 3074:3843 4098:4867 5122:5891 6146:6915 7170:7939 8194:8963 9218:9987 10242:11011 11266:12035 12290:13059 13314:14083 14338:15107 15362:16131" s="59" customFormat="1" ht="31.8" thickBot="1" x14ac:dyDescent="0.35">
      <c r="A327" s="154"/>
      <c r="B327" s="155" t="s">
        <v>26</v>
      </c>
      <c r="C327" s="156"/>
      <c r="D327" s="154"/>
      <c r="E327" s="157"/>
      <c r="F327" s="158"/>
      <c r="G327" s="159">
        <f>SUM(G307:G326)/2</f>
        <v>646830577</v>
      </c>
      <c r="H327" s="160"/>
      <c r="IX327" s="35"/>
      <c r="IY327" s="35"/>
      <c r="ST327" s="35"/>
      <c r="SU327" s="35"/>
      <c r="ACP327" s="35"/>
      <c r="ACQ327" s="35"/>
      <c r="AML327" s="35"/>
      <c r="AMM327" s="35"/>
      <c r="AWH327" s="35"/>
      <c r="AWI327" s="35"/>
      <c r="BGD327" s="35"/>
      <c r="BGE327" s="35"/>
      <c r="BPZ327" s="35"/>
      <c r="BQA327" s="35"/>
      <c r="BZV327" s="35"/>
      <c r="BZW327" s="35"/>
      <c r="CJR327" s="35"/>
      <c r="CJS327" s="35"/>
      <c r="CTN327" s="35"/>
      <c r="CTO327" s="35"/>
      <c r="DDJ327" s="35"/>
      <c r="DDK327" s="35"/>
      <c r="DNF327" s="35"/>
      <c r="DNG327" s="35"/>
      <c r="DXB327" s="35"/>
      <c r="DXC327" s="35"/>
      <c r="EGX327" s="35"/>
      <c r="EGY327" s="35"/>
      <c r="EQT327" s="35"/>
      <c r="EQU327" s="35"/>
      <c r="FAP327" s="35"/>
      <c r="FAQ327" s="35"/>
      <c r="FKL327" s="35"/>
      <c r="FKM327" s="35"/>
      <c r="FUH327" s="35"/>
      <c r="FUI327" s="35"/>
      <c r="GED327" s="35"/>
      <c r="GEE327" s="35"/>
      <c r="GNZ327" s="35"/>
      <c r="GOA327" s="35"/>
      <c r="GXV327" s="35"/>
      <c r="GXW327" s="35"/>
      <c r="HHR327" s="35"/>
      <c r="HHS327" s="35"/>
      <c r="HRN327" s="35"/>
      <c r="HRO327" s="35"/>
      <c r="IBJ327" s="35"/>
      <c r="IBK327" s="35"/>
      <c r="ILF327" s="35"/>
      <c r="ILG327" s="35"/>
      <c r="IVB327" s="35"/>
      <c r="IVC327" s="35"/>
      <c r="JEX327" s="35"/>
      <c r="JEY327" s="35"/>
      <c r="JOT327" s="35"/>
      <c r="JOU327" s="35"/>
      <c r="JYP327" s="35"/>
      <c r="JYQ327" s="35"/>
      <c r="KIL327" s="35"/>
      <c r="KIM327" s="35"/>
      <c r="KSH327" s="35"/>
      <c r="KSI327" s="35"/>
      <c r="LCD327" s="35"/>
      <c r="LCE327" s="35"/>
      <c r="LLZ327" s="35"/>
      <c r="LMA327" s="35"/>
      <c r="LVV327" s="35"/>
      <c r="LVW327" s="35"/>
      <c r="MFR327" s="35"/>
      <c r="MFS327" s="35"/>
      <c r="MPN327" s="35"/>
      <c r="MPO327" s="35"/>
      <c r="MZJ327" s="35"/>
      <c r="MZK327" s="35"/>
      <c r="NJF327" s="35"/>
      <c r="NJG327" s="35"/>
      <c r="NTB327" s="35"/>
      <c r="NTC327" s="35"/>
      <c r="OCX327" s="35"/>
      <c r="OCY327" s="35"/>
      <c r="OMT327" s="35"/>
      <c r="OMU327" s="35"/>
      <c r="OWP327" s="35"/>
      <c r="OWQ327" s="35"/>
      <c r="PGL327" s="35"/>
      <c r="PGM327" s="35"/>
      <c r="PQH327" s="35"/>
      <c r="PQI327" s="35"/>
      <c r="QAD327" s="35"/>
      <c r="QAE327" s="35"/>
      <c r="QJZ327" s="35"/>
      <c r="QKA327" s="35"/>
      <c r="QTV327" s="35"/>
      <c r="QTW327" s="35"/>
      <c r="RDR327" s="35"/>
      <c r="RDS327" s="35"/>
      <c r="RNN327" s="35"/>
      <c r="RNO327" s="35"/>
      <c r="RXJ327" s="35"/>
      <c r="RXK327" s="35"/>
      <c r="SHF327" s="35"/>
      <c r="SHG327" s="35"/>
      <c r="SRB327" s="35"/>
      <c r="SRC327" s="35"/>
      <c r="TAX327" s="35"/>
      <c r="TAY327" s="35"/>
      <c r="TKT327" s="35"/>
      <c r="TKU327" s="35"/>
      <c r="TUP327" s="35"/>
      <c r="TUQ327" s="35"/>
      <c r="UEL327" s="35"/>
      <c r="UEM327" s="35"/>
      <c r="UOH327" s="35"/>
      <c r="UOI327" s="35"/>
      <c r="UYD327" s="35"/>
      <c r="UYE327" s="35"/>
      <c r="VHZ327" s="35"/>
      <c r="VIA327" s="35"/>
      <c r="VRV327" s="35"/>
      <c r="VRW327" s="35"/>
      <c r="WBR327" s="35"/>
      <c r="WBS327" s="35"/>
      <c r="WLN327" s="35"/>
      <c r="WLO327" s="35"/>
      <c r="WVJ327" s="35"/>
      <c r="WVK327" s="35"/>
    </row>
    <row r="328" spans="1:771 1026:1795 2050:2819 3074:3843 4098:4867 5122:5891 6146:6915 7170:7939 8194:8963 9218:9987 10242:11011 11266:12035 12290:13059 13314:14083 14338:15107 15362:16131" s="35" customFormat="1" ht="55.2" x14ac:dyDescent="0.3">
      <c r="A328" s="28">
        <v>25</v>
      </c>
      <c r="B328" s="29" t="s">
        <v>313</v>
      </c>
      <c r="C328" s="30" t="s">
        <v>318</v>
      </c>
      <c r="D328" s="31" t="s">
        <v>13</v>
      </c>
      <c r="E328" s="32">
        <v>12.7</v>
      </c>
      <c r="F328" s="33"/>
      <c r="G328" s="33"/>
      <c r="H328" s="34" t="s">
        <v>319</v>
      </c>
    </row>
    <row r="329" spans="1:771 1026:1795 2050:2819 3074:3843 4098:4867 5122:5891 6146:6915 7170:7939 8194:8963 9218:9987 10242:11011 11266:12035 12290:13059 13314:14083 14338:15107 15362:16131" s="35" customFormat="1" ht="31.2" x14ac:dyDescent="0.3">
      <c r="A329" s="36"/>
      <c r="B329" s="37" t="s">
        <v>315</v>
      </c>
      <c r="C329" s="38" t="s">
        <v>14</v>
      </c>
      <c r="D329" s="39"/>
      <c r="E329" s="44"/>
      <c r="F329" s="40"/>
      <c r="G329" s="41">
        <f>SUM(G330)</f>
        <v>247383300</v>
      </c>
      <c r="H329" s="42"/>
    </row>
    <row r="330" spans="1:771 1026:1795 2050:2819 3074:3843 4098:4867 5122:5891 6146:6915 7170:7939 8194:8963 9218:9987 10242:11011 11266:12035 12290:13059 13314:14083 14338:15107 15362:16131" s="35" customFormat="1" ht="18.600000000000001" x14ac:dyDescent="0.3">
      <c r="A330" s="36"/>
      <c r="B330" s="37" t="s">
        <v>316</v>
      </c>
      <c r="C330" s="48" t="s">
        <v>38</v>
      </c>
      <c r="D330" s="39" t="s">
        <v>13</v>
      </c>
      <c r="E330" s="44">
        <v>12.7</v>
      </c>
      <c r="F330" s="161">
        <v>19479000</v>
      </c>
      <c r="G330" s="40">
        <f>E330*F330</f>
        <v>247383300</v>
      </c>
      <c r="H330" s="42"/>
    </row>
    <row r="331" spans="1:771 1026:1795 2050:2819 3074:3843 4098:4867 5122:5891 6146:6915 7170:7939 8194:8963 9218:9987 10242:11011 11266:12035 12290:13059 13314:14083 14338:15107 15362:16131" s="35" customFormat="1" ht="62.4" x14ac:dyDescent="0.3">
      <c r="A331" s="36"/>
      <c r="B331" s="46" t="s">
        <v>317</v>
      </c>
      <c r="C331" s="47" t="s">
        <v>35</v>
      </c>
      <c r="D331" s="39"/>
      <c r="E331" s="44"/>
      <c r="F331" s="40"/>
      <c r="G331" s="41">
        <f>SUM(G332:G334)</f>
        <v>15073840</v>
      </c>
      <c r="H331" s="45"/>
    </row>
    <row r="332" spans="1:771 1026:1795 2050:2819 3074:3843 4098:4867 5122:5891 6146:6915 7170:7939 8194:8963 9218:9987 10242:11011 11266:12035 12290:13059 13314:14083 14338:15107 15362:16131" s="35" customFormat="1" ht="46.8" x14ac:dyDescent="0.3">
      <c r="A332" s="36"/>
      <c r="B332" s="50" t="s">
        <v>299</v>
      </c>
      <c r="C332" s="48" t="s">
        <v>320</v>
      </c>
      <c r="D332" s="39" t="s">
        <v>13</v>
      </c>
      <c r="E332" s="44">
        <v>4.8499999999999996</v>
      </c>
      <c r="F332" s="40">
        <f>540000*40%</f>
        <v>216000</v>
      </c>
      <c r="G332" s="40">
        <f>E332*F332</f>
        <v>1047599.9999999999</v>
      </c>
      <c r="H332" s="52"/>
    </row>
    <row r="333" spans="1:771 1026:1795 2050:2819 3074:3843 4098:4867 5122:5891 6146:6915 7170:7939 8194:8963 9218:9987 10242:11011 11266:12035 12290:13059 13314:14083 14338:15107 15362:16131" s="35" customFormat="1" ht="18.600000000000001" x14ac:dyDescent="0.3">
      <c r="A333" s="36"/>
      <c r="B333" s="46"/>
      <c r="C333" s="48" t="s">
        <v>321</v>
      </c>
      <c r="D333" s="39" t="s">
        <v>13</v>
      </c>
      <c r="E333" s="44">
        <v>27.28</v>
      </c>
      <c r="F333" s="40">
        <v>258000</v>
      </c>
      <c r="G333" s="40">
        <f>E333*F333</f>
        <v>7038240</v>
      </c>
      <c r="H333" s="52"/>
    </row>
    <row r="334" spans="1:771 1026:1795 2050:2819 3074:3843 4098:4867 5122:5891 6146:6915 7170:7939 8194:8963 9218:9987 10242:11011 11266:12035 12290:13059 13314:14083 14338:15107 15362:16131" s="35" customFormat="1" x14ac:dyDescent="0.3">
      <c r="A334" s="36"/>
      <c r="B334" s="46"/>
      <c r="C334" s="48" t="s">
        <v>322</v>
      </c>
      <c r="D334" s="39" t="s">
        <v>106</v>
      </c>
      <c r="E334" s="44">
        <v>1</v>
      </c>
      <c r="F334" s="40">
        <f>2976000+(236000*17)</f>
        <v>6988000</v>
      </c>
      <c r="G334" s="40">
        <f>E334*F334</f>
        <v>6988000</v>
      </c>
      <c r="H334" s="52"/>
    </row>
    <row r="335" spans="1:771 1026:1795 2050:2819 3074:3843 4098:4867 5122:5891 6146:6915 7170:7939 8194:8963 9218:9987 10242:11011 11266:12035 12290:13059 13314:14083 14338:15107 15362:16131" s="35" customFormat="1" x14ac:dyDescent="0.3">
      <c r="A335" s="36"/>
      <c r="B335" s="46"/>
      <c r="C335" s="51" t="s">
        <v>20</v>
      </c>
      <c r="D335" s="39"/>
      <c r="E335" s="44"/>
      <c r="F335" s="40"/>
      <c r="G335" s="41">
        <f>SUM(G336)</f>
        <v>600000</v>
      </c>
      <c r="H335" s="52"/>
    </row>
    <row r="336" spans="1:771 1026:1795 2050:2819 3074:3843 4098:4867 5122:5891 6146:6915 7170:7939 8194:8963 9218:9987 10242:11011 11266:12035 12290:13059 13314:14083 14338:15107 15362:16131" s="35" customFormat="1" x14ac:dyDescent="0.3">
      <c r="A336" s="36"/>
      <c r="B336" s="46"/>
      <c r="C336" s="63" t="s">
        <v>323</v>
      </c>
      <c r="D336" s="39" t="s">
        <v>21</v>
      </c>
      <c r="E336" s="44">
        <v>1</v>
      </c>
      <c r="F336" s="40">
        <v>600000</v>
      </c>
      <c r="G336" s="40">
        <f>E336*F336</f>
        <v>600000</v>
      </c>
      <c r="H336" s="52"/>
    </row>
    <row r="337" spans="1:771 1026:1795 2050:2819 3074:3843 4098:4867 5122:5891 6146:6915 7170:7939 8194:8963 9218:9987 10242:11011 11266:12035 12290:13059 13314:14083 14338:15107 15362:16131" s="35" customFormat="1" ht="65.400000000000006" thickBot="1" x14ac:dyDescent="0.35">
      <c r="A337" s="53"/>
      <c r="B337" s="54"/>
      <c r="C337" s="55" t="s">
        <v>2331</v>
      </c>
      <c r="D337" s="56"/>
      <c r="E337" s="5"/>
      <c r="F337" s="6"/>
      <c r="G337" s="57"/>
      <c r="H337" s="58"/>
    </row>
    <row r="338" spans="1:771 1026:1795 2050:2819 3074:3843 4098:4867 5122:5891 6146:6915 7170:7939 8194:8963 9218:9987 10242:11011 11266:12035 12290:13059 13314:14083 14338:15107 15362:16131" s="59" customFormat="1" ht="31.8" thickBot="1" x14ac:dyDescent="0.35">
      <c r="A338" s="154"/>
      <c r="B338" s="155" t="s">
        <v>26</v>
      </c>
      <c r="C338" s="156"/>
      <c r="D338" s="154"/>
      <c r="E338" s="157"/>
      <c r="F338" s="158"/>
      <c r="G338" s="159">
        <f>SUM(G328:G337)/2</f>
        <v>263057140</v>
      </c>
      <c r="H338" s="160"/>
      <c r="IX338" s="35"/>
      <c r="IY338" s="35"/>
      <c r="ST338" s="35"/>
      <c r="SU338" s="35"/>
      <c r="ACP338" s="35"/>
      <c r="ACQ338" s="35"/>
      <c r="AML338" s="35"/>
      <c r="AMM338" s="35"/>
      <c r="AWH338" s="35"/>
      <c r="AWI338" s="35"/>
      <c r="BGD338" s="35"/>
      <c r="BGE338" s="35"/>
      <c r="BPZ338" s="35"/>
      <c r="BQA338" s="35"/>
      <c r="BZV338" s="35"/>
      <c r="BZW338" s="35"/>
      <c r="CJR338" s="35"/>
      <c r="CJS338" s="35"/>
      <c r="CTN338" s="35"/>
      <c r="CTO338" s="35"/>
      <c r="DDJ338" s="35"/>
      <c r="DDK338" s="35"/>
      <c r="DNF338" s="35"/>
      <c r="DNG338" s="35"/>
      <c r="DXB338" s="35"/>
      <c r="DXC338" s="35"/>
      <c r="EGX338" s="35"/>
      <c r="EGY338" s="35"/>
      <c r="EQT338" s="35"/>
      <c r="EQU338" s="35"/>
      <c r="FAP338" s="35"/>
      <c r="FAQ338" s="35"/>
      <c r="FKL338" s="35"/>
      <c r="FKM338" s="35"/>
      <c r="FUH338" s="35"/>
      <c r="FUI338" s="35"/>
      <c r="GED338" s="35"/>
      <c r="GEE338" s="35"/>
      <c r="GNZ338" s="35"/>
      <c r="GOA338" s="35"/>
      <c r="GXV338" s="35"/>
      <c r="GXW338" s="35"/>
      <c r="HHR338" s="35"/>
      <c r="HHS338" s="35"/>
      <c r="HRN338" s="35"/>
      <c r="HRO338" s="35"/>
      <c r="IBJ338" s="35"/>
      <c r="IBK338" s="35"/>
      <c r="ILF338" s="35"/>
      <c r="ILG338" s="35"/>
      <c r="IVB338" s="35"/>
      <c r="IVC338" s="35"/>
      <c r="JEX338" s="35"/>
      <c r="JEY338" s="35"/>
      <c r="JOT338" s="35"/>
      <c r="JOU338" s="35"/>
      <c r="JYP338" s="35"/>
      <c r="JYQ338" s="35"/>
      <c r="KIL338" s="35"/>
      <c r="KIM338" s="35"/>
      <c r="KSH338" s="35"/>
      <c r="KSI338" s="35"/>
      <c r="LCD338" s="35"/>
      <c r="LCE338" s="35"/>
      <c r="LLZ338" s="35"/>
      <c r="LMA338" s="35"/>
      <c r="LVV338" s="35"/>
      <c r="LVW338" s="35"/>
      <c r="MFR338" s="35"/>
      <c r="MFS338" s="35"/>
      <c r="MPN338" s="35"/>
      <c r="MPO338" s="35"/>
      <c r="MZJ338" s="35"/>
      <c r="MZK338" s="35"/>
      <c r="NJF338" s="35"/>
      <c r="NJG338" s="35"/>
      <c r="NTB338" s="35"/>
      <c r="NTC338" s="35"/>
      <c r="OCX338" s="35"/>
      <c r="OCY338" s="35"/>
      <c r="OMT338" s="35"/>
      <c r="OMU338" s="35"/>
      <c r="OWP338" s="35"/>
      <c r="OWQ338" s="35"/>
      <c r="PGL338" s="35"/>
      <c r="PGM338" s="35"/>
      <c r="PQH338" s="35"/>
      <c r="PQI338" s="35"/>
      <c r="QAD338" s="35"/>
      <c r="QAE338" s="35"/>
      <c r="QJZ338" s="35"/>
      <c r="QKA338" s="35"/>
      <c r="QTV338" s="35"/>
      <c r="QTW338" s="35"/>
      <c r="RDR338" s="35"/>
      <c r="RDS338" s="35"/>
      <c r="RNN338" s="35"/>
      <c r="RNO338" s="35"/>
      <c r="RXJ338" s="35"/>
      <c r="RXK338" s="35"/>
      <c r="SHF338" s="35"/>
      <c r="SHG338" s="35"/>
      <c r="SRB338" s="35"/>
      <c r="SRC338" s="35"/>
      <c r="TAX338" s="35"/>
      <c r="TAY338" s="35"/>
      <c r="TKT338" s="35"/>
      <c r="TKU338" s="35"/>
      <c r="TUP338" s="35"/>
      <c r="TUQ338" s="35"/>
      <c r="UEL338" s="35"/>
      <c r="UEM338" s="35"/>
      <c r="UOH338" s="35"/>
      <c r="UOI338" s="35"/>
      <c r="UYD338" s="35"/>
      <c r="UYE338" s="35"/>
      <c r="VHZ338" s="35"/>
      <c r="VIA338" s="35"/>
      <c r="VRV338" s="35"/>
      <c r="VRW338" s="35"/>
      <c r="WBR338" s="35"/>
      <c r="WBS338" s="35"/>
      <c r="WLN338" s="35"/>
      <c r="WLO338" s="35"/>
      <c r="WVJ338" s="35"/>
      <c r="WVK338" s="35"/>
    </row>
    <row r="339" spans="1:771 1026:1795 2050:2819 3074:3843 4098:4867 5122:5891 6146:6915 7170:7939 8194:8963 9218:9987 10242:11011 11266:12035 12290:13059 13314:14083 14338:15107 15362:16131" s="35" customFormat="1" ht="55.2" x14ac:dyDescent="0.3">
      <c r="A339" s="28">
        <v>26</v>
      </c>
      <c r="B339" s="29" t="s">
        <v>324</v>
      </c>
      <c r="C339" s="30" t="s">
        <v>2129</v>
      </c>
      <c r="D339" s="31" t="s">
        <v>13</v>
      </c>
      <c r="E339" s="32">
        <v>11.3</v>
      </c>
      <c r="F339" s="33"/>
      <c r="G339" s="33"/>
      <c r="H339" s="34" t="s">
        <v>2130</v>
      </c>
    </row>
    <row r="340" spans="1:771 1026:1795 2050:2819 3074:3843 4098:4867 5122:5891 6146:6915 7170:7939 8194:8963 9218:9987 10242:11011 11266:12035 12290:13059 13314:14083 14338:15107 15362:16131" s="35" customFormat="1" x14ac:dyDescent="0.3">
      <c r="A340" s="36"/>
      <c r="B340" s="37" t="s">
        <v>326</v>
      </c>
      <c r="C340" s="38" t="s">
        <v>14</v>
      </c>
      <c r="D340" s="39"/>
      <c r="E340" s="44"/>
      <c r="F340" s="40"/>
      <c r="G340" s="41">
        <f>SUM(G341)</f>
        <v>220112700</v>
      </c>
      <c r="H340" s="42"/>
    </row>
    <row r="341" spans="1:771 1026:1795 2050:2819 3074:3843 4098:4867 5122:5891 6146:6915 7170:7939 8194:8963 9218:9987 10242:11011 11266:12035 12290:13059 13314:14083 14338:15107 15362:16131" s="35" customFormat="1" ht="18.600000000000001" x14ac:dyDescent="0.3">
      <c r="A341" s="36"/>
      <c r="B341" s="50"/>
      <c r="C341" s="48" t="s">
        <v>38</v>
      </c>
      <c r="D341" s="39" t="s">
        <v>13</v>
      </c>
      <c r="E341" s="44">
        <v>11.3</v>
      </c>
      <c r="F341" s="161">
        <v>19479000</v>
      </c>
      <c r="G341" s="40">
        <f>E341*F341</f>
        <v>220112700</v>
      </c>
      <c r="H341" s="42"/>
    </row>
    <row r="342" spans="1:771 1026:1795 2050:2819 3074:3843 4098:4867 5122:5891 6146:6915 7170:7939 8194:8963 9218:9987 10242:11011 11266:12035 12290:13059 13314:14083 14338:15107 15362:16131" s="35" customFormat="1" ht="62.4" x14ac:dyDescent="0.3">
      <c r="A342" s="36"/>
      <c r="B342" s="46" t="s">
        <v>325</v>
      </c>
      <c r="C342" s="47" t="s">
        <v>35</v>
      </c>
      <c r="D342" s="39"/>
      <c r="E342" s="44"/>
      <c r="F342" s="40"/>
      <c r="G342" s="41">
        <f>SUM(G343:G346)</f>
        <v>11637263.550000001</v>
      </c>
      <c r="H342" s="45"/>
    </row>
    <row r="343" spans="1:771 1026:1795 2050:2819 3074:3843 4098:4867 5122:5891 6146:6915 7170:7939 8194:8963 9218:9987 10242:11011 11266:12035 12290:13059 13314:14083 14338:15107 15362:16131" s="35" customFormat="1" ht="62.4" x14ac:dyDescent="0.3">
      <c r="A343" s="36"/>
      <c r="B343" s="50" t="s">
        <v>67</v>
      </c>
      <c r="C343" s="48" t="s">
        <v>327</v>
      </c>
      <c r="D343" s="39" t="s">
        <v>13</v>
      </c>
      <c r="E343" s="44">
        <v>7</v>
      </c>
      <c r="F343" s="40">
        <f>3592000*40%</f>
        <v>1436800</v>
      </c>
      <c r="G343" s="40">
        <f>E343*F343</f>
        <v>10057600</v>
      </c>
      <c r="H343" s="42" t="s">
        <v>2390</v>
      </c>
    </row>
    <row r="344" spans="1:771 1026:1795 2050:2819 3074:3843 4098:4867 5122:5891 6146:6915 7170:7939 8194:8963 9218:9987 10242:11011 11266:12035 12290:13059 13314:14083 14338:15107 15362:16131" s="35" customFormat="1" ht="31.2" x14ac:dyDescent="0.3">
      <c r="A344" s="36"/>
      <c r="B344" s="46"/>
      <c r="C344" s="48" t="s">
        <v>328</v>
      </c>
      <c r="D344" s="39" t="s">
        <v>13</v>
      </c>
      <c r="E344" s="44">
        <v>5.53</v>
      </c>
      <c r="F344" s="40">
        <f>540000*40%</f>
        <v>216000</v>
      </c>
      <c r="G344" s="40">
        <f>E344*F344</f>
        <v>1194480</v>
      </c>
      <c r="H344" s="52" t="s">
        <v>2374</v>
      </c>
    </row>
    <row r="345" spans="1:771 1026:1795 2050:2819 3074:3843 4098:4867 5122:5891 6146:6915 7170:7939 8194:8963 9218:9987 10242:11011 11266:12035 12290:13059 13314:14083 14338:15107 15362:16131" s="35" customFormat="1" x14ac:dyDescent="0.3">
      <c r="A345" s="36"/>
      <c r="B345" s="46"/>
      <c r="C345" s="48" t="s">
        <v>18</v>
      </c>
      <c r="D345" s="39" t="s">
        <v>234</v>
      </c>
      <c r="E345" s="44">
        <v>7.92</v>
      </c>
      <c r="F345" s="40">
        <v>41000</v>
      </c>
      <c r="G345" s="40">
        <f>E345*F345</f>
        <v>324720</v>
      </c>
      <c r="H345" s="52"/>
    </row>
    <row r="346" spans="1:771 1026:1795 2050:2819 3074:3843 4098:4867 5122:5891 6146:6915 7170:7939 8194:8963 9218:9987 10242:11011 11266:12035 12290:13059 13314:14083 14338:15107 15362:16131" s="35" customFormat="1" x14ac:dyDescent="0.3">
      <c r="A346" s="36"/>
      <c r="B346" s="46"/>
      <c r="C346" s="48" t="s">
        <v>189</v>
      </c>
      <c r="D346" s="39"/>
      <c r="E346" s="44">
        <f>1.85*0.23*0.1</f>
        <v>4.2550000000000004E-2</v>
      </c>
      <c r="F346" s="40">
        <v>1421000</v>
      </c>
      <c r="G346" s="40">
        <f>E346*F346</f>
        <v>60463.55</v>
      </c>
      <c r="H346" s="52"/>
    </row>
    <row r="347" spans="1:771 1026:1795 2050:2819 3074:3843 4098:4867 5122:5891 6146:6915 7170:7939 8194:8963 9218:9987 10242:11011 11266:12035 12290:13059 13314:14083 14338:15107 15362:16131" s="35" customFormat="1" x14ac:dyDescent="0.3">
      <c r="A347" s="36"/>
      <c r="B347" s="46"/>
      <c r="C347" s="51" t="s">
        <v>20</v>
      </c>
      <c r="D347" s="39"/>
      <c r="E347" s="44"/>
      <c r="F347" s="40"/>
      <c r="G347" s="41">
        <f>SUM(G348)</f>
        <v>20000</v>
      </c>
      <c r="H347" s="52"/>
    </row>
    <row r="348" spans="1:771 1026:1795 2050:2819 3074:3843 4098:4867 5122:5891 6146:6915 7170:7939 8194:8963 9218:9987 10242:11011 11266:12035 12290:13059 13314:14083 14338:15107 15362:16131" s="35" customFormat="1" x14ac:dyDescent="0.3">
      <c r="A348" s="36"/>
      <c r="B348" s="46"/>
      <c r="C348" s="63" t="s">
        <v>329</v>
      </c>
      <c r="D348" s="39" t="s">
        <v>21</v>
      </c>
      <c r="E348" s="44">
        <v>2</v>
      </c>
      <c r="F348" s="40">
        <v>10000</v>
      </c>
      <c r="G348" s="40">
        <f>E348*F348</f>
        <v>20000</v>
      </c>
      <c r="H348" s="52"/>
    </row>
    <row r="349" spans="1:771 1026:1795 2050:2819 3074:3843 4098:4867 5122:5891 6146:6915 7170:7939 8194:8963 9218:9987 10242:11011 11266:12035 12290:13059 13314:14083 14338:15107 15362:16131" s="35" customFormat="1" ht="65.400000000000006" thickBot="1" x14ac:dyDescent="0.35">
      <c r="A349" s="53"/>
      <c r="B349" s="54"/>
      <c r="C349" s="55" t="s">
        <v>2331</v>
      </c>
      <c r="D349" s="56"/>
      <c r="E349" s="5"/>
      <c r="F349" s="6"/>
      <c r="G349" s="57"/>
      <c r="H349" s="58"/>
    </row>
    <row r="350" spans="1:771 1026:1795 2050:2819 3074:3843 4098:4867 5122:5891 6146:6915 7170:7939 8194:8963 9218:9987 10242:11011 11266:12035 12290:13059 13314:14083 14338:15107 15362:16131" s="59" customFormat="1" ht="31.8" thickBot="1" x14ac:dyDescent="0.35">
      <c r="A350" s="154"/>
      <c r="B350" s="155" t="s">
        <v>26</v>
      </c>
      <c r="C350" s="156"/>
      <c r="D350" s="154"/>
      <c r="E350" s="157"/>
      <c r="F350" s="158"/>
      <c r="G350" s="159">
        <f>SUM(G339:G349)/2</f>
        <v>231769963.55000001</v>
      </c>
      <c r="H350" s="160"/>
      <c r="IX350" s="35"/>
      <c r="IY350" s="35"/>
      <c r="ST350" s="35"/>
      <c r="SU350" s="35"/>
      <c r="ACP350" s="35"/>
      <c r="ACQ350" s="35"/>
      <c r="AML350" s="35"/>
      <c r="AMM350" s="35"/>
      <c r="AWH350" s="35"/>
      <c r="AWI350" s="35"/>
      <c r="BGD350" s="35"/>
      <c r="BGE350" s="35"/>
      <c r="BPZ350" s="35"/>
      <c r="BQA350" s="35"/>
      <c r="BZV350" s="35"/>
      <c r="BZW350" s="35"/>
      <c r="CJR350" s="35"/>
      <c r="CJS350" s="35"/>
      <c r="CTN350" s="35"/>
      <c r="CTO350" s="35"/>
      <c r="DDJ350" s="35"/>
      <c r="DDK350" s="35"/>
      <c r="DNF350" s="35"/>
      <c r="DNG350" s="35"/>
      <c r="DXB350" s="35"/>
      <c r="DXC350" s="35"/>
      <c r="EGX350" s="35"/>
      <c r="EGY350" s="35"/>
      <c r="EQT350" s="35"/>
      <c r="EQU350" s="35"/>
      <c r="FAP350" s="35"/>
      <c r="FAQ350" s="35"/>
      <c r="FKL350" s="35"/>
      <c r="FKM350" s="35"/>
      <c r="FUH350" s="35"/>
      <c r="FUI350" s="35"/>
      <c r="GED350" s="35"/>
      <c r="GEE350" s="35"/>
      <c r="GNZ350" s="35"/>
      <c r="GOA350" s="35"/>
      <c r="GXV350" s="35"/>
      <c r="GXW350" s="35"/>
      <c r="HHR350" s="35"/>
      <c r="HHS350" s="35"/>
      <c r="HRN350" s="35"/>
      <c r="HRO350" s="35"/>
      <c r="IBJ350" s="35"/>
      <c r="IBK350" s="35"/>
      <c r="ILF350" s="35"/>
      <c r="ILG350" s="35"/>
      <c r="IVB350" s="35"/>
      <c r="IVC350" s="35"/>
      <c r="JEX350" s="35"/>
      <c r="JEY350" s="35"/>
      <c r="JOT350" s="35"/>
      <c r="JOU350" s="35"/>
      <c r="JYP350" s="35"/>
      <c r="JYQ350" s="35"/>
      <c r="KIL350" s="35"/>
      <c r="KIM350" s="35"/>
      <c r="KSH350" s="35"/>
      <c r="KSI350" s="35"/>
      <c r="LCD350" s="35"/>
      <c r="LCE350" s="35"/>
      <c r="LLZ350" s="35"/>
      <c r="LMA350" s="35"/>
      <c r="LVV350" s="35"/>
      <c r="LVW350" s="35"/>
      <c r="MFR350" s="35"/>
      <c r="MFS350" s="35"/>
      <c r="MPN350" s="35"/>
      <c r="MPO350" s="35"/>
      <c r="MZJ350" s="35"/>
      <c r="MZK350" s="35"/>
      <c r="NJF350" s="35"/>
      <c r="NJG350" s="35"/>
      <c r="NTB350" s="35"/>
      <c r="NTC350" s="35"/>
      <c r="OCX350" s="35"/>
      <c r="OCY350" s="35"/>
      <c r="OMT350" s="35"/>
      <c r="OMU350" s="35"/>
      <c r="OWP350" s="35"/>
      <c r="OWQ350" s="35"/>
      <c r="PGL350" s="35"/>
      <c r="PGM350" s="35"/>
      <c r="PQH350" s="35"/>
      <c r="PQI350" s="35"/>
      <c r="QAD350" s="35"/>
      <c r="QAE350" s="35"/>
      <c r="QJZ350" s="35"/>
      <c r="QKA350" s="35"/>
      <c r="QTV350" s="35"/>
      <c r="QTW350" s="35"/>
      <c r="RDR350" s="35"/>
      <c r="RDS350" s="35"/>
      <c r="RNN350" s="35"/>
      <c r="RNO350" s="35"/>
      <c r="RXJ350" s="35"/>
      <c r="RXK350" s="35"/>
      <c r="SHF350" s="35"/>
      <c r="SHG350" s="35"/>
      <c r="SRB350" s="35"/>
      <c r="SRC350" s="35"/>
      <c r="TAX350" s="35"/>
      <c r="TAY350" s="35"/>
      <c r="TKT350" s="35"/>
      <c r="TKU350" s="35"/>
      <c r="TUP350" s="35"/>
      <c r="TUQ350" s="35"/>
      <c r="UEL350" s="35"/>
      <c r="UEM350" s="35"/>
      <c r="UOH350" s="35"/>
      <c r="UOI350" s="35"/>
      <c r="UYD350" s="35"/>
      <c r="UYE350" s="35"/>
      <c r="VHZ350" s="35"/>
      <c r="VIA350" s="35"/>
      <c r="VRV350" s="35"/>
      <c r="VRW350" s="35"/>
      <c r="WBR350" s="35"/>
      <c r="WBS350" s="35"/>
      <c r="WLN350" s="35"/>
      <c r="WLO350" s="35"/>
      <c r="WVJ350" s="35"/>
      <c r="WVK350" s="35"/>
    </row>
    <row r="351" spans="1:771 1026:1795 2050:2819 3074:3843 4098:4867 5122:5891 6146:6915 7170:7939 8194:8963 9218:9987 10242:11011 11266:12035 12290:13059 13314:14083 14338:15107 15362:16131" s="35" customFormat="1" ht="55.2" x14ac:dyDescent="0.3">
      <c r="A351" s="28">
        <v>27</v>
      </c>
      <c r="B351" s="29" t="s">
        <v>330</v>
      </c>
      <c r="C351" s="30" t="s">
        <v>335</v>
      </c>
      <c r="D351" s="31" t="s">
        <v>13</v>
      </c>
      <c r="E351" s="32">
        <v>11.1</v>
      </c>
      <c r="F351" s="33"/>
      <c r="G351" s="33"/>
      <c r="H351" s="34" t="s">
        <v>336</v>
      </c>
    </row>
    <row r="352" spans="1:771 1026:1795 2050:2819 3074:3843 4098:4867 5122:5891 6146:6915 7170:7939 8194:8963 9218:9987 10242:11011 11266:12035 12290:13059 13314:14083 14338:15107 15362:16131" s="35" customFormat="1" ht="31.2" x14ac:dyDescent="0.3">
      <c r="A352" s="36"/>
      <c r="B352" s="37" t="s">
        <v>331</v>
      </c>
      <c r="C352" s="38" t="s">
        <v>14</v>
      </c>
      <c r="D352" s="39"/>
      <c r="E352" s="44"/>
      <c r="F352" s="40"/>
      <c r="G352" s="41">
        <f>SUM(G353)</f>
        <v>115484400</v>
      </c>
      <c r="H352" s="42"/>
    </row>
    <row r="353" spans="1:771 1026:1795 2050:2819 3074:3843 4098:4867 5122:5891 6146:6915 7170:7939 8194:8963 9218:9987 10242:11011 11266:12035 12290:13059 13314:14083 14338:15107 15362:16131" s="35" customFormat="1" ht="31.2" x14ac:dyDescent="0.3">
      <c r="A353" s="36"/>
      <c r="B353" s="37" t="s">
        <v>332</v>
      </c>
      <c r="C353" s="43" t="s">
        <v>55</v>
      </c>
      <c r="D353" s="39" t="s">
        <v>13</v>
      </c>
      <c r="E353" s="44">
        <v>11.1</v>
      </c>
      <c r="F353" s="153">
        <v>10404000</v>
      </c>
      <c r="G353" s="40">
        <f>E353*F353</f>
        <v>115484400</v>
      </c>
      <c r="H353" s="42"/>
    </row>
    <row r="354" spans="1:771 1026:1795 2050:2819 3074:3843 4098:4867 5122:5891 6146:6915 7170:7939 8194:8963 9218:9987 10242:11011 11266:12035 12290:13059 13314:14083 14338:15107 15362:16131" s="35" customFormat="1" ht="78" x14ac:dyDescent="0.3">
      <c r="A354" s="36"/>
      <c r="B354" s="46" t="s">
        <v>333</v>
      </c>
      <c r="C354" s="47" t="s">
        <v>35</v>
      </c>
      <c r="D354" s="39"/>
      <c r="E354" s="44"/>
      <c r="F354" s="40"/>
      <c r="G354" s="41">
        <f>SUM(G355:G357)</f>
        <v>1420839</v>
      </c>
      <c r="H354" s="45"/>
    </row>
    <row r="355" spans="1:771 1026:1795 2050:2819 3074:3843 4098:4867 5122:5891 6146:6915 7170:7939 8194:8963 9218:9987 10242:11011 11266:12035 12290:13059 13314:14083 14338:15107 15362:16131" s="35" customFormat="1" ht="55.2" x14ac:dyDescent="0.3">
      <c r="A355" s="36"/>
      <c r="B355" s="50" t="s">
        <v>334</v>
      </c>
      <c r="C355" s="48" t="s">
        <v>337</v>
      </c>
      <c r="D355" s="39" t="s">
        <v>13</v>
      </c>
      <c r="E355" s="44">
        <v>11.35</v>
      </c>
      <c r="F355" s="40"/>
      <c r="G355" s="40">
        <f>E355*F355</f>
        <v>0</v>
      </c>
      <c r="H355" s="42" t="s">
        <v>2391</v>
      </c>
    </row>
    <row r="356" spans="1:771 1026:1795 2050:2819 3074:3843 4098:4867 5122:5891 6146:6915 7170:7939 8194:8963 9218:9987 10242:11011 11266:12035 12290:13059 13314:14083 14338:15107 15362:16131" s="35" customFormat="1" ht="18.600000000000001" x14ac:dyDescent="0.3">
      <c r="A356" s="36"/>
      <c r="B356" s="46"/>
      <c r="C356" s="48" t="s">
        <v>190</v>
      </c>
      <c r="D356" s="39" t="s">
        <v>13</v>
      </c>
      <c r="E356" s="44">
        <f>2.1*1.9*2</f>
        <v>7.9799999999999995</v>
      </c>
      <c r="F356" s="40">
        <v>107000</v>
      </c>
      <c r="G356" s="40">
        <f>E356*F356</f>
        <v>853860</v>
      </c>
      <c r="H356" s="52"/>
    </row>
    <row r="357" spans="1:771 1026:1795 2050:2819 3074:3843 4098:4867 5122:5891 6146:6915 7170:7939 8194:8963 9218:9987 10242:11011 11266:12035 12290:13059 13314:14083 14338:15107 15362:16131" s="35" customFormat="1" ht="18.600000000000001" x14ac:dyDescent="0.3">
      <c r="A357" s="36"/>
      <c r="B357" s="46"/>
      <c r="C357" s="48" t="s">
        <v>189</v>
      </c>
      <c r="D357" s="39" t="s">
        <v>128</v>
      </c>
      <c r="E357" s="44">
        <f>2.1*1.9*0.1</f>
        <v>0.39900000000000002</v>
      </c>
      <c r="F357" s="40">
        <v>1421000</v>
      </c>
      <c r="G357" s="40">
        <f>E357*F357</f>
        <v>566979</v>
      </c>
      <c r="H357" s="52"/>
    </row>
    <row r="358" spans="1:771 1026:1795 2050:2819 3074:3843 4098:4867 5122:5891 6146:6915 7170:7939 8194:8963 9218:9987 10242:11011 11266:12035 12290:13059 13314:14083 14338:15107 15362:16131" s="35" customFormat="1" x14ac:dyDescent="0.3">
      <c r="A358" s="36"/>
      <c r="B358" s="46"/>
      <c r="C358" s="51" t="s">
        <v>23</v>
      </c>
      <c r="D358" s="39"/>
      <c r="E358" s="1"/>
      <c r="F358" s="2"/>
      <c r="G358" s="41">
        <f>SUM(G359)</f>
        <v>6120000</v>
      </c>
      <c r="H358" s="52"/>
    </row>
    <row r="359" spans="1:771 1026:1795 2050:2819 3074:3843 4098:4867 5122:5891 6146:6915 7170:7939 8194:8963 9218:9987 10242:11011 11266:12035 12290:13059 13314:14083 14338:15107 15362:16131" s="35" customFormat="1" x14ac:dyDescent="0.3">
      <c r="A359" s="36"/>
      <c r="B359" s="46"/>
      <c r="C359" s="50" t="s">
        <v>24</v>
      </c>
      <c r="D359" s="39" t="s">
        <v>25</v>
      </c>
      <c r="E359" s="1">
        <f>2*30*6</f>
        <v>360</v>
      </c>
      <c r="F359" s="2">
        <v>17000</v>
      </c>
      <c r="G359" s="40">
        <f>E359*F359</f>
        <v>6120000</v>
      </c>
      <c r="H359" s="42"/>
    </row>
    <row r="360" spans="1:771 1026:1795 2050:2819 3074:3843 4098:4867 5122:5891 6146:6915 7170:7939 8194:8963 9218:9987 10242:11011 11266:12035 12290:13059 13314:14083 14338:15107 15362:16131" s="35" customFormat="1" ht="65.400000000000006" thickBot="1" x14ac:dyDescent="0.35">
      <c r="A360" s="53"/>
      <c r="B360" s="54"/>
      <c r="C360" s="55" t="s">
        <v>2331</v>
      </c>
      <c r="D360" s="56"/>
      <c r="E360" s="5"/>
      <c r="F360" s="6"/>
      <c r="G360" s="57"/>
      <c r="H360" s="58"/>
    </row>
    <row r="361" spans="1:771 1026:1795 2050:2819 3074:3843 4098:4867 5122:5891 6146:6915 7170:7939 8194:8963 9218:9987 10242:11011 11266:12035 12290:13059 13314:14083 14338:15107 15362:16131" s="59" customFormat="1" ht="31.8" thickBot="1" x14ac:dyDescent="0.35">
      <c r="A361" s="154"/>
      <c r="B361" s="155" t="s">
        <v>26</v>
      </c>
      <c r="C361" s="156"/>
      <c r="D361" s="154"/>
      <c r="E361" s="157"/>
      <c r="F361" s="158"/>
      <c r="G361" s="159">
        <f>SUM(G351:G360)/2</f>
        <v>123025239</v>
      </c>
      <c r="H361" s="160"/>
      <c r="IX361" s="35"/>
      <c r="IY361" s="35"/>
      <c r="ST361" s="35"/>
      <c r="SU361" s="35"/>
      <c r="ACP361" s="35"/>
      <c r="ACQ361" s="35"/>
      <c r="AML361" s="35"/>
      <c r="AMM361" s="35"/>
      <c r="AWH361" s="35"/>
      <c r="AWI361" s="35"/>
      <c r="BGD361" s="35"/>
      <c r="BGE361" s="35"/>
      <c r="BPZ361" s="35"/>
      <c r="BQA361" s="35"/>
      <c r="BZV361" s="35"/>
      <c r="BZW361" s="35"/>
      <c r="CJR361" s="35"/>
      <c r="CJS361" s="35"/>
      <c r="CTN361" s="35"/>
      <c r="CTO361" s="35"/>
      <c r="DDJ361" s="35"/>
      <c r="DDK361" s="35"/>
      <c r="DNF361" s="35"/>
      <c r="DNG361" s="35"/>
      <c r="DXB361" s="35"/>
      <c r="DXC361" s="35"/>
      <c r="EGX361" s="35"/>
      <c r="EGY361" s="35"/>
      <c r="EQT361" s="35"/>
      <c r="EQU361" s="35"/>
      <c r="FAP361" s="35"/>
      <c r="FAQ361" s="35"/>
      <c r="FKL361" s="35"/>
      <c r="FKM361" s="35"/>
      <c r="FUH361" s="35"/>
      <c r="FUI361" s="35"/>
      <c r="GED361" s="35"/>
      <c r="GEE361" s="35"/>
      <c r="GNZ361" s="35"/>
      <c r="GOA361" s="35"/>
      <c r="GXV361" s="35"/>
      <c r="GXW361" s="35"/>
      <c r="HHR361" s="35"/>
      <c r="HHS361" s="35"/>
      <c r="HRN361" s="35"/>
      <c r="HRO361" s="35"/>
      <c r="IBJ361" s="35"/>
      <c r="IBK361" s="35"/>
      <c r="ILF361" s="35"/>
      <c r="ILG361" s="35"/>
      <c r="IVB361" s="35"/>
      <c r="IVC361" s="35"/>
      <c r="JEX361" s="35"/>
      <c r="JEY361" s="35"/>
      <c r="JOT361" s="35"/>
      <c r="JOU361" s="35"/>
      <c r="JYP361" s="35"/>
      <c r="JYQ361" s="35"/>
      <c r="KIL361" s="35"/>
      <c r="KIM361" s="35"/>
      <c r="KSH361" s="35"/>
      <c r="KSI361" s="35"/>
      <c r="LCD361" s="35"/>
      <c r="LCE361" s="35"/>
      <c r="LLZ361" s="35"/>
      <c r="LMA361" s="35"/>
      <c r="LVV361" s="35"/>
      <c r="LVW361" s="35"/>
      <c r="MFR361" s="35"/>
      <c r="MFS361" s="35"/>
      <c r="MPN361" s="35"/>
      <c r="MPO361" s="35"/>
      <c r="MZJ361" s="35"/>
      <c r="MZK361" s="35"/>
      <c r="NJF361" s="35"/>
      <c r="NJG361" s="35"/>
      <c r="NTB361" s="35"/>
      <c r="NTC361" s="35"/>
      <c r="OCX361" s="35"/>
      <c r="OCY361" s="35"/>
      <c r="OMT361" s="35"/>
      <c r="OMU361" s="35"/>
      <c r="OWP361" s="35"/>
      <c r="OWQ361" s="35"/>
      <c r="PGL361" s="35"/>
      <c r="PGM361" s="35"/>
      <c r="PQH361" s="35"/>
      <c r="PQI361" s="35"/>
      <c r="QAD361" s="35"/>
      <c r="QAE361" s="35"/>
      <c r="QJZ361" s="35"/>
      <c r="QKA361" s="35"/>
      <c r="QTV361" s="35"/>
      <c r="QTW361" s="35"/>
      <c r="RDR361" s="35"/>
      <c r="RDS361" s="35"/>
      <c r="RNN361" s="35"/>
      <c r="RNO361" s="35"/>
      <c r="RXJ361" s="35"/>
      <c r="RXK361" s="35"/>
      <c r="SHF361" s="35"/>
      <c r="SHG361" s="35"/>
      <c r="SRB361" s="35"/>
      <c r="SRC361" s="35"/>
      <c r="TAX361" s="35"/>
      <c r="TAY361" s="35"/>
      <c r="TKT361" s="35"/>
      <c r="TKU361" s="35"/>
      <c r="TUP361" s="35"/>
      <c r="TUQ361" s="35"/>
      <c r="UEL361" s="35"/>
      <c r="UEM361" s="35"/>
      <c r="UOH361" s="35"/>
      <c r="UOI361" s="35"/>
      <c r="UYD361" s="35"/>
      <c r="UYE361" s="35"/>
      <c r="VHZ361" s="35"/>
      <c r="VIA361" s="35"/>
      <c r="VRV361" s="35"/>
      <c r="VRW361" s="35"/>
      <c r="WBR361" s="35"/>
      <c r="WBS361" s="35"/>
      <c r="WLN361" s="35"/>
      <c r="WLO361" s="35"/>
      <c r="WVJ361" s="35"/>
      <c r="WVK361" s="35"/>
    </row>
    <row r="362" spans="1:771 1026:1795 2050:2819 3074:3843 4098:4867 5122:5891 6146:6915 7170:7939 8194:8963 9218:9987 10242:11011 11266:12035 12290:13059 13314:14083 14338:15107 15362:16131" s="35" customFormat="1" ht="55.2" x14ac:dyDescent="0.3">
      <c r="A362" s="28">
        <v>28</v>
      </c>
      <c r="B362" s="29" t="s">
        <v>2158</v>
      </c>
      <c r="C362" s="30" t="s">
        <v>338</v>
      </c>
      <c r="D362" s="31" t="s">
        <v>13</v>
      </c>
      <c r="E362" s="32">
        <v>11.2</v>
      </c>
      <c r="F362" s="33"/>
      <c r="G362" s="33"/>
      <c r="H362" s="34" t="s">
        <v>339</v>
      </c>
    </row>
    <row r="363" spans="1:771 1026:1795 2050:2819 3074:3843 4098:4867 5122:5891 6146:6915 7170:7939 8194:8963 9218:9987 10242:11011 11266:12035 12290:13059 13314:14083 14338:15107 15362:16131" s="35" customFormat="1" ht="31.2" x14ac:dyDescent="0.3">
      <c r="A363" s="36"/>
      <c r="B363" s="37" t="s">
        <v>390</v>
      </c>
      <c r="C363" s="38" t="s">
        <v>14</v>
      </c>
      <c r="D363" s="39"/>
      <c r="E363" s="44"/>
      <c r="F363" s="40"/>
      <c r="G363" s="41">
        <f>SUM(G364)</f>
        <v>218164800</v>
      </c>
      <c r="H363" s="42"/>
    </row>
    <row r="364" spans="1:771 1026:1795 2050:2819 3074:3843 4098:4867 5122:5891 6146:6915 7170:7939 8194:8963 9218:9987 10242:11011 11266:12035 12290:13059 13314:14083 14338:15107 15362:16131" s="35" customFormat="1" ht="18.600000000000001" x14ac:dyDescent="0.3">
      <c r="A364" s="36"/>
      <c r="B364" s="37" t="s">
        <v>2159</v>
      </c>
      <c r="C364" s="48" t="s">
        <v>38</v>
      </c>
      <c r="D364" s="39" t="s">
        <v>13</v>
      </c>
      <c r="E364" s="44">
        <v>11.2</v>
      </c>
      <c r="F364" s="161">
        <v>19479000</v>
      </c>
      <c r="G364" s="40">
        <f>E364*F364</f>
        <v>218164800</v>
      </c>
      <c r="H364" s="42"/>
    </row>
    <row r="365" spans="1:771 1026:1795 2050:2819 3074:3843 4098:4867 5122:5891 6146:6915 7170:7939 8194:8963 9218:9987 10242:11011 11266:12035 12290:13059 13314:14083 14338:15107 15362:16131" s="35" customFormat="1" ht="78" x14ac:dyDescent="0.3">
      <c r="A365" s="36"/>
      <c r="B365" s="46" t="s">
        <v>2160</v>
      </c>
      <c r="C365" s="47" t="s">
        <v>35</v>
      </c>
      <c r="D365" s="39"/>
      <c r="E365" s="44"/>
      <c r="F365" s="40"/>
      <c r="G365" s="41">
        <f>SUM(G366:G367)</f>
        <v>10018000</v>
      </c>
      <c r="H365" s="45"/>
    </row>
    <row r="366" spans="1:771 1026:1795 2050:2819 3074:3843 4098:4867 5122:5891 6146:6915 7170:7939 8194:8963 9218:9987 10242:11011 11266:12035 12290:13059 13314:14083 14338:15107 15362:16131" s="35" customFormat="1" x14ac:dyDescent="0.3">
      <c r="A366" s="36"/>
      <c r="B366" s="50" t="s">
        <v>2161</v>
      </c>
      <c r="C366" s="48" t="s">
        <v>340</v>
      </c>
      <c r="D366" s="39" t="s">
        <v>106</v>
      </c>
      <c r="E366" s="44">
        <v>1</v>
      </c>
      <c r="F366" s="40">
        <f>2976000+(236000*20)</f>
        <v>7696000</v>
      </c>
      <c r="G366" s="40">
        <f>E366*F366</f>
        <v>7696000</v>
      </c>
      <c r="H366" s="52"/>
    </row>
    <row r="367" spans="1:771 1026:1795 2050:2819 3074:3843 4098:4867 5122:5891 6146:6915 7170:7939 8194:8963 9218:9987 10242:11011 11266:12035 12290:13059 13314:14083 14338:15107 15362:16131" s="35" customFormat="1" ht="31.2" x14ac:dyDescent="0.3">
      <c r="A367" s="36"/>
      <c r="B367" s="46"/>
      <c r="C367" s="48" t="s">
        <v>341</v>
      </c>
      <c r="D367" s="39" t="s">
        <v>13</v>
      </c>
      <c r="E367" s="44">
        <v>10.75</v>
      </c>
      <c r="F367" s="40">
        <f>540000*40%</f>
        <v>216000</v>
      </c>
      <c r="G367" s="40">
        <f>E367*F367</f>
        <v>2322000</v>
      </c>
      <c r="H367" s="52" t="s">
        <v>342</v>
      </c>
    </row>
    <row r="368" spans="1:771 1026:1795 2050:2819 3074:3843 4098:4867 5122:5891 6146:6915 7170:7939 8194:8963 9218:9987 10242:11011 11266:12035 12290:13059 13314:14083 14338:15107 15362:16131" s="35" customFormat="1" x14ac:dyDescent="0.3">
      <c r="A368" s="36"/>
      <c r="B368" s="46"/>
      <c r="C368" s="51" t="s">
        <v>20</v>
      </c>
      <c r="D368" s="39"/>
      <c r="E368" s="44"/>
      <c r="F368" s="40"/>
      <c r="G368" s="41">
        <f>SUM(G369)</f>
        <v>160000</v>
      </c>
      <c r="H368" s="52"/>
    </row>
    <row r="369" spans="1:771 1026:1795 2050:2819 3074:3843 4098:4867 5122:5891 6146:6915 7170:7939 8194:8963 9218:9987 10242:11011 11266:12035 12290:13059 13314:14083 14338:15107 15362:16131" s="35" customFormat="1" x14ac:dyDescent="0.3">
      <c r="A369" s="36"/>
      <c r="B369" s="46"/>
      <c r="C369" s="75" t="s">
        <v>343</v>
      </c>
      <c r="D369" s="39"/>
      <c r="E369" s="44">
        <v>1</v>
      </c>
      <c r="F369" s="40">
        <v>160000</v>
      </c>
      <c r="G369" s="40">
        <f>E369*F369</f>
        <v>160000</v>
      </c>
      <c r="H369" s="52"/>
    </row>
    <row r="370" spans="1:771 1026:1795 2050:2819 3074:3843 4098:4867 5122:5891 6146:6915 7170:7939 8194:8963 9218:9987 10242:11011 11266:12035 12290:13059 13314:14083 14338:15107 15362:16131" s="35" customFormat="1" ht="65.400000000000006" thickBot="1" x14ac:dyDescent="0.35">
      <c r="A370" s="53"/>
      <c r="B370" s="54"/>
      <c r="C370" s="55" t="s">
        <v>2331</v>
      </c>
      <c r="D370" s="56"/>
      <c r="E370" s="5"/>
      <c r="F370" s="6"/>
      <c r="G370" s="57"/>
      <c r="H370" s="58"/>
    </row>
    <row r="371" spans="1:771 1026:1795 2050:2819 3074:3843 4098:4867 5122:5891 6146:6915 7170:7939 8194:8963 9218:9987 10242:11011 11266:12035 12290:13059 13314:14083 14338:15107 15362:16131" s="59" customFormat="1" ht="31.8" thickBot="1" x14ac:dyDescent="0.35">
      <c r="A371" s="154"/>
      <c r="B371" s="155" t="s">
        <v>26</v>
      </c>
      <c r="C371" s="156"/>
      <c r="D371" s="154"/>
      <c r="E371" s="157"/>
      <c r="F371" s="158"/>
      <c r="G371" s="159">
        <f>SUM(G362:G370)/2</f>
        <v>228342800</v>
      </c>
      <c r="H371" s="160"/>
      <c r="IX371" s="35"/>
      <c r="IY371" s="35"/>
      <c r="ST371" s="35"/>
      <c r="SU371" s="35"/>
      <c r="ACP371" s="35"/>
      <c r="ACQ371" s="35"/>
      <c r="AML371" s="35"/>
      <c r="AMM371" s="35"/>
      <c r="AWH371" s="35"/>
      <c r="AWI371" s="35"/>
      <c r="BGD371" s="35"/>
      <c r="BGE371" s="35"/>
      <c r="BPZ371" s="35"/>
      <c r="BQA371" s="35"/>
      <c r="BZV371" s="35"/>
      <c r="BZW371" s="35"/>
      <c r="CJR371" s="35"/>
      <c r="CJS371" s="35"/>
      <c r="CTN371" s="35"/>
      <c r="CTO371" s="35"/>
      <c r="DDJ371" s="35"/>
      <c r="DDK371" s="35"/>
      <c r="DNF371" s="35"/>
      <c r="DNG371" s="35"/>
      <c r="DXB371" s="35"/>
      <c r="DXC371" s="35"/>
      <c r="EGX371" s="35"/>
      <c r="EGY371" s="35"/>
      <c r="EQT371" s="35"/>
      <c r="EQU371" s="35"/>
      <c r="FAP371" s="35"/>
      <c r="FAQ371" s="35"/>
      <c r="FKL371" s="35"/>
      <c r="FKM371" s="35"/>
      <c r="FUH371" s="35"/>
      <c r="FUI371" s="35"/>
      <c r="GED371" s="35"/>
      <c r="GEE371" s="35"/>
      <c r="GNZ371" s="35"/>
      <c r="GOA371" s="35"/>
      <c r="GXV371" s="35"/>
      <c r="GXW371" s="35"/>
      <c r="HHR371" s="35"/>
      <c r="HHS371" s="35"/>
      <c r="HRN371" s="35"/>
      <c r="HRO371" s="35"/>
      <c r="IBJ371" s="35"/>
      <c r="IBK371" s="35"/>
      <c r="ILF371" s="35"/>
      <c r="ILG371" s="35"/>
      <c r="IVB371" s="35"/>
      <c r="IVC371" s="35"/>
      <c r="JEX371" s="35"/>
      <c r="JEY371" s="35"/>
      <c r="JOT371" s="35"/>
      <c r="JOU371" s="35"/>
      <c r="JYP371" s="35"/>
      <c r="JYQ371" s="35"/>
      <c r="KIL371" s="35"/>
      <c r="KIM371" s="35"/>
      <c r="KSH371" s="35"/>
      <c r="KSI371" s="35"/>
      <c r="LCD371" s="35"/>
      <c r="LCE371" s="35"/>
      <c r="LLZ371" s="35"/>
      <c r="LMA371" s="35"/>
      <c r="LVV371" s="35"/>
      <c r="LVW371" s="35"/>
      <c r="MFR371" s="35"/>
      <c r="MFS371" s="35"/>
      <c r="MPN371" s="35"/>
      <c r="MPO371" s="35"/>
      <c r="MZJ371" s="35"/>
      <c r="MZK371" s="35"/>
      <c r="NJF371" s="35"/>
      <c r="NJG371" s="35"/>
      <c r="NTB371" s="35"/>
      <c r="NTC371" s="35"/>
      <c r="OCX371" s="35"/>
      <c r="OCY371" s="35"/>
      <c r="OMT371" s="35"/>
      <c r="OMU371" s="35"/>
      <c r="OWP371" s="35"/>
      <c r="OWQ371" s="35"/>
      <c r="PGL371" s="35"/>
      <c r="PGM371" s="35"/>
      <c r="PQH371" s="35"/>
      <c r="PQI371" s="35"/>
      <c r="QAD371" s="35"/>
      <c r="QAE371" s="35"/>
      <c r="QJZ371" s="35"/>
      <c r="QKA371" s="35"/>
      <c r="QTV371" s="35"/>
      <c r="QTW371" s="35"/>
      <c r="RDR371" s="35"/>
      <c r="RDS371" s="35"/>
      <c r="RNN371" s="35"/>
      <c r="RNO371" s="35"/>
      <c r="RXJ371" s="35"/>
      <c r="RXK371" s="35"/>
      <c r="SHF371" s="35"/>
      <c r="SHG371" s="35"/>
      <c r="SRB371" s="35"/>
      <c r="SRC371" s="35"/>
      <c r="TAX371" s="35"/>
      <c r="TAY371" s="35"/>
      <c r="TKT371" s="35"/>
      <c r="TKU371" s="35"/>
      <c r="TUP371" s="35"/>
      <c r="TUQ371" s="35"/>
      <c r="UEL371" s="35"/>
      <c r="UEM371" s="35"/>
      <c r="UOH371" s="35"/>
      <c r="UOI371" s="35"/>
      <c r="UYD371" s="35"/>
      <c r="UYE371" s="35"/>
      <c r="VHZ371" s="35"/>
      <c r="VIA371" s="35"/>
      <c r="VRV371" s="35"/>
      <c r="VRW371" s="35"/>
      <c r="WBR371" s="35"/>
      <c r="WBS371" s="35"/>
      <c r="WLN371" s="35"/>
      <c r="WLO371" s="35"/>
      <c r="WVJ371" s="35"/>
      <c r="WVK371" s="35"/>
    </row>
    <row r="372" spans="1:771 1026:1795 2050:2819 3074:3843 4098:4867 5122:5891 6146:6915 7170:7939 8194:8963 9218:9987 10242:11011 11266:12035 12290:13059 13314:14083 14338:15107 15362:16131" s="35" customFormat="1" ht="55.2" x14ac:dyDescent="0.3">
      <c r="A372" s="28">
        <v>29</v>
      </c>
      <c r="B372" s="29" t="s">
        <v>344</v>
      </c>
      <c r="C372" s="30" t="s">
        <v>2172</v>
      </c>
      <c r="D372" s="31" t="s">
        <v>13</v>
      </c>
      <c r="E372" s="32">
        <v>11.3</v>
      </c>
      <c r="F372" s="33"/>
      <c r="G372" s="33"/>
      <c r="H372" s="34" t="s">
        <v>348</v>
      </c>
    </row>
    <row r="373" spans="1:771 1026:1795 2050:2819 3074:3843 4098:4867 5122:5891 6146:6915 7170:7939 8194:8963 9218:9987 10242:11011 11266:12035 12290:13059 13314:14083 14338:15107 15362:16131" s="35" customFormat="1" ht="62.4" x14ac:dyDescent="0.3">
      <c r="A373" s="36"/>
      <c r="B373" s="37" t="s">
        <v>345</v>
      </c>
      <c r="C373" s="38" t="s">
        <v>14</v>
      </c>
      <c r="D373" s="39"/>
      <c r="E373" s="44"/>
      <c r="F373" s="40"/>
      <c r="G373" s="41">
        <f>SUM(G374)</f>
        <v>117565200</v>
      </c>
      <c r="H373" s="42"/>
    </row>
    <row r="374" spans="1:771 1026:1795 2050:2819 3074:3843 4098:4867 5122:5891 6146:6915 7170:7939 8194:8963 9218:9987 10242:11011 11266:12035 12290:13059 13314:14083 14338:15107 15362:16131" s="35" customFormat="1" ht="31.2" x14ac:dyDescent="0.3">
      <c r="A374" s="36"/>
      <c r="B374" s="37" t="s">
        <v>346</v>
      </c>
      <c r="C374" s="43" t="s">
        <v>55</v>
      </c>
      <c r="D374" s="39" t="s">
        <v>13</v>
      </c>
      <c r="E374" s="44">
        <v>11.3</v>
      </c>
      <c r="F374" s="153">
        <v>10404000</v>
      </c>
      <c r="G374" s="40">
        <f>E374*F374</f>
        <v>117565200</v>
      </c>
      <c r="H374" s="42"/>
    </row>
    <row r="375" spans="1:771 1026:1795 2050:2819 3074:3843 4098:4867 5122:5891 6146:6915 7170:7939 8194:8963 9218:9987 10242:11011 11266:12035 12290:13059 13314:14083 14338:15107 15362:16131" s="35" customFormat="1" ht="78" x14ac:dyDescent="0.3">
      <c r="A375" s="36"/>
      <c r="B375" s="46" t="s">
        <v>347</v>
      </c>
      <c r="C375" s="47" t="s">
        <v>35</v>
      </c>
      <c r="D375" s="39"/>
      <c r="E375" s="44"/>
      <c r="F375" s="40"/>
      <c r="G375" s="41">
        <f>SUM(G376)</f>
        <v>0</v>
      </c>
      <c r="H375" s="45"/>
    </row>
    <row r="376" spans="1:771 1026:1795 2050:2819 3074:3843 4098:4867 5122:5891 6146:6915 7170:7939 8194:8963 9218:9987 10242:11011 11266:12035 12290:13059 13314:14083 14338:15107 15362:16131" s="35" customFormat="1" ht="55.2" x14ac:dyDescent="0.3">
      <c r="A376" s="36"/>
      <c r="B376" s="50" t="s">
        <v>334</v>
      </c>
      <c r="C376" s="48" t="s">
        <v>349</v>
      </c>
      <c r="D376" s="39" t="s">
        <v>13</v>
      </c>
      <c r="E376" s="44">
        <v>11.295999999999999</v>
      </c>
      <c r="F376" s="40"/>
      <c r="G376" s="40">
        <f>E376*F376</f>
        <v>0</v>
      </c>
      <c r="H376" s="42" t="s">
        <v>2392</v>
      </c>
    </row>
    <row r="377" spans="1:771 1026:1795 2050:2819 3074:3843 4098:4867 5122:5891 6146:6915 7170:7939 8194:8963 9218:9987 10242:11011 11266:12035 12290:13059 13314:14083 14338:15107 15362:16131" s="35" customFormat="1" ht="65.400000000000006" thickBot="1" x14ac:dyDescent="0.35">
      <c r="A377" s="53"/>
      <c r="B377" s="54"/>
      <c r="C377" s="55" t="s">
        <v>2331</v>
      </c>
      <c r="D377" s="56"/>
      <c r="E377" s="5"/>
      <c r="F377" s="6"/>
      <c r="G377" s="57"/>
      <c r="H377" s="58"/>
    </row>
    <row r="378" spans="1:771 1026:1795 2050:2819 3074:3843 4098:4867 5122:5891 6146:6915 7170:7939 8194:8963 9218:9987 10242:11011 11266:12035 12290:13059 13314:14083 14338:15107 15362:16131" s="59" customFormat="1" ht="31.8" thickBot="1" x14ac:dyDescent="0.35">
      <c r="A378" s="154"/>
      <c r="B378" s="155" t="s">
        <v>26</v>
      </c>
      <c r="C378" s="156"/>
      <c r="D378" s="154"/>
      <c r="E378" s="157"/>
      <c r="F378" s="158"/>
      <c r="G378" s="159">
        <f>SUM(G372:G377)/2</f>
        <v>117565200</v>
      </c>
      <c r="H378" s="160"/>
      <c r="IX378" s="35"/>
      <c r="IY378" s="35"/>
      <c r="ST378" s="35"/>
      <c r="SU378" s="35"/>
      <c r="ACP378" s="35"/>
      <c r="ACQ378" s="35"/>
      <c r="AML378" s="35"/>
      <c r="AMM378" s="35"/>
      <c r="AWH378" s="35"/>
      <c r="AWI378" s="35"/>
      <c r="BGD378" s="35"/>
      <c r="BGE378" s="35"/>
      <c r="BPZ378" s="35"/>
      <c r="BQA378" s="35"/>
      <c r="BZV378" s="35"/>
      <c r="BZW378" s="35"/>
      <c r="CJR378" s="35"/>
      <c r="CJS378" s="35"/>
      <c r="CTN378" s="35"/>
      <c r="CTO378" s="35"/>
      <c r="DDJ378" s="35"/>
      <c r="DDK378" s="35"/>
      <c r="DNF378" s="35"/>
      <c r="DNG378" s="35"/>
      <c r="DXB378" s="35"/>
      <c r="DXC378" s="35"/>
      <c r="EGX378" s="35"/>
      <c r="EGY378" s="35"/>
      <c r="EQT378" s="35"/>
      <c r="EQU378" s="35"/>
      <c r="FAP378" s="35"/>
      <c r="FAQ378" s="35"/>
      <c r="FKL378" s="35"/>
      <c r="FKM378" s="35"/>
      <c r="FUH378" s="35"/>
      <c r="FUI378" s="35"/>
      <c r="GED378" s="35"/>
      <c r="GEE378" s="35"/>
      <c r="GNZ378" s="35"/>
      <c r="GOA378" s="35"/>
      <c r="GXV378" s="35"/>
      <c r="GXW378" s="35"/>
      <c r="HHR378" s="35"/>
      <c r="HHS378" s="35"/>
      <c r="HRN378" s="35"/>
      <c r="HRO378" s="35"/>
      <c r="IBJ378" s="35"/>
      <c r="IBK378" s="35"/>
      <c r="ILF378" s="35"/>
      <c r="ILG378" s="35"/>
      <c r="IVB378" s="35"/>
      <c r="IVC378" s="35"/>
      <c r="JEX378" s="35"/>
      <c r="JEY378" s="35"/>
      <c r="JOT378" s="35"/>
      <c r="JOU378" s="35"/>
      <c r="JYP378" s="35"/>
      <c r="JYQ378" s="35"/>
      <c r="KIL378" s="35"/>
      <c r="KIM378" s="35"/>
      <c r="KSH378" s="35"/>
      <c r="KSI378" s="35"/>
      <c r="LCD378" s="35"/>
      <c r="LCE378" s="35"/>
      <c r="LLZ378" s="35"/>
      <c r="LMA378" s="35"/>
      <c r="LVV378" s="35"/>
      <c r="LVW378" s="35"/>
      <c r="MFR378" s="35"/>
      <c r="MFS378" s="35"/>
      <c r="MPN378" s="35"/>
      <c r="MPO378" s="35"/>
      <c r="MZJ378" s="35"/>
      <c r="MZK378" s="35"/>
      <c r="NJF378" s="35"/>
      <c r="NJG378" s="35"/>
      <c r="NTB378" s="35"/>
      <c r="NTC378" s="35"/>
      <c r="OCX378" s="35"/>
      <c r="OCY378" s="35"/>
      <c r="OMT378" s="35"/>
      <c r="OMU378" s="35"/>
      <c r="OWP378" s="35"/>
      <c r="OWQ378" s="35"/>
      <c r="PGL378" s="35"/>
      <c r="PGM378" s="35"/>
      <c r="PQH378" s="35"/>
      <c r="PQI378" s="35"/>
      <c r="QAD378" s="35"/>
      <c r="QAE378" s="35"/>
      <c r="QJZ378" s="35"/>
      <c r="QKA378" s="35"/>
      <c r="QTV378" s="35"/>
      <c r="QTW378" s="35"/>
      <c r="RDR378" s="35"/>
      <c r="RDS378" s="35"/>
      <c r="RNN378" s="35"/>
      <c r="RNO378" s="35"/>
      <c r="RXJ378" s="35"/>
      <c r="RXK378" s="35"/>
      <c r="SHF378" s="35"/>
      <c r="SHG378" s="35"/>
      <c r="SRB378" s="35"/>
      <c r="SRC378" s="35"/>
      <c r="TAX378" s="35"/>
      <c r="TAY378" s="35"/>
      <c r="TKT378" s="35"/>
      <c r="TKU378" s="35"/>
      <c r="TUP378" s="35"/>
      <c r="TUQ378" s="35"/>
      <c r="UEL378" s="35"/>
      <c r="UEM378" s="35"/>
      <c r="UOH378" s="35"/>
      <c r="UOI378" s="35"/>
      <c r="UYD378" s="35"/>
      <c r="UYE378" s="35"/>
      <c r="VHZ378" s="35"/>
      <c r="VIA378" s="35"/>
      <c r="VRV378" s="35"/>
      <c r="VRW378" s="35"/>
      <c r="WBR378" s="35"/>
      <c r="WBS378" s="35"/>
      <c r="WLN378" s="35"/>
      <c r="WLO378" s="35"/>
      <c r="WVJ378" s="35"/>
      <c r="WVK378" s="35"/>
    </row>
    <row r="379" spans="1:771 1026:1795 2050:2819 3074:3843 4098:4867 5122:5891 6146:6915 7170:7939 8194:8963 9218:9987 10242:11011 11266:12035 12290:13059 13314:14083 14338:15107 15362:16131" s="35" customFormat="1" ht="55.2" x14ac:dyDescent="0.3">
      <c r="A379" s="28">
        <v>30</v>
      </c>
      <c r="B379" s="29" t="s">
        <v>350</v>
      </c>
      <c r="C379" s="30" t="s">
        <v>354</v>
      </c>
      <c r="D379" s="31" t="s">
        <v>13</v>
      </c>
      <c r="E379" s="32">
        <v>12.1</v>
      </c>
      <c r="F379" s="33"/>
      <c r="G379" s="33"/>
      <c r="H379" s="34" t="s">
        <v>355</v>
      </c>
    </row>
    <row r="380" spans="1:771 1026:1795 2050:2819 3074:3843 4098:4867 5122:5891 6146:6915 7170:7939 8194:8963 9218:9987 10242:11011 11266:12035 12290:13059 13314:14083 14338:15107 15362:16131" s="35" customFormat="1" ht="31.2" x14ac:dyDescent="0.3">
      <c r="A380" s="36"/>
      <c r="B380" s="37" t="s">
        <v>352</v>
      </c>
      <c r="C380" s="38" t="s">
        <v>14</v>
      </c>
      <c r="D380" s="39"/>
      <c r="E380" s="44"/>
      <c r="F380" s="40"/>
      <c r="G380" s="41">
        <f>SUM(G381)</f>
        <v>125888400</v>
      </c>
      <c r="H380" s="42"/>
    </row>
    <row r="381" spans="1:771 1026:1795 2050:2819 3074:3843 4098:4867 5122:5891 6146:6915 7170:7939 8194:8963 9218:9987 10242:11011 11266:12035 12290:13059 13314:14083 14338:15107 15362:16131" s="35" customFormat="1" ht="31.2" x14ac:dyDescent="0.3">
      <c r="A381" s="36"/>
      <c r="B381" s="37" t="s">
        <v>353</v>
      </c>
      <c r="C381" s="43" t="s">
        <v>55</v>
      </c>
      <c r="D381" s="39" t="s">
        <v>13</v>
      </c>
      <c r="E381" s="44">
        <v>12.1</v>
      </c>
      <c r="F381" s="153">
        <v>10404000</v>
      </c>
      <c r="G381" s="40">
        <f>E381*F381</f>
        <v>125888400</v>
      </c>
      <c r="H381" s="42"/>
    </row>
    <row r="382" spans="1:771 1026:1795 2050:2819 3074:3843 4098:4867 5122:5891 6146:6915 7170:7939 8194:8963 9218:9987 10242:11011 11266:12035 12290:13059 13314:14083 14338:15107 15362:16131" s="35" customFormat="1" ht="46.8" x14ac:dyDescent="0.3">
      <c r="A382" s="36"/>
      <c r="B382" s="46" t="s">
        <v>351</v>
      </c>
      <c r="C382" s="47" t="s">
        <v>35</v>
      </c>
      <c r="D382" s="39"/>
      <c r="E382" s="44"/>
      <c r="F382" s="40"/>
      <c r="G382" s="41">
        <f>SUM(G383)</f>
        <v>0</v>
      </c>
      <c r="H382" s="45"/>
    </row>
    <row r="383" spans="1:771 1026:1795 2050:2819 3074:3843 4098:4867 5122:5891 6146:6915 7170:7939 8194:8963 9218:9987 10242:11011 11266:12035 12290:13059 13314:14083 14338:15107 15362:16131" s="35" customFormat="1" ht="55.2" x14ac:dyDescent="0.3">
      <c r="A383" s="36"/>
      <c r="B383" s="50" t="s">
        <v>334</v>
      </c>
      <c r="C383" s="48" t="s">
        <v>349</v>
      </c>
      <c r="D383" s="39" t="s">
        <v>13</v>
      </c>
      <c r="E383" s="44">
        <v>11.96</v>
      </c>
      <c r="F383" s="40"/>
      <c r="G383" s="40">
        <f>E383*F383</f>
        <v>0</v>
      </c>
      <c r="H383" s="42" t="s">
        <v>2393</v>
      </c>
    </row>
    <row r="384" spans="1:771 1026:1795 2050:2819 3074:3843 4098:4867 5122:5891 6146:6915 7170:7939 8194:8963 9218:9987 10242:11011 11266:12035 12290:13059 13314:14083 14338:15107 15362:16131" s="35" customFormat="1" x14ac:dyDescent="0.3">
      <c r="A384" s="36"/>
      <c r="B384" s="46"/>
      <c r="C384" s="51" t="s">
        <v>23</v>
      </c>
      <c r="D384" s="39"/>
      <c r="E384" s="1"/>
      <c r="F384" s="2"/>
      <c r="G384" s="41">
        <f>SUM(G385)</f>
        <v>3060000</v>
      </c>
      <c r="H384" s="52"/>
    </row>
    <row r="385" spans="1:771 1026:1795 2050:2819 3074:3843 4098:4867 5122:5891 6146:6915 7170:7939 8194:8963 9218:9987 10242:11011 11266:12035 12290:13059 13314:14083 14338:15107 15362:16131" s="35" customFormat="1" x14ac:dyDescent="0.3">
      <c r="A385" s="36"/>
      <c r="B385" s="46"/>
      <c r="C385" s="50" t="s">
        <v>24</v>
      </c>
      <c r="D385" s="39" t="s">
        <v>25</v>
      </c>
      <c r="E385" s="1">
        <f>1*30*6</f>
        <v>180</v>
      </c>
      <c r="F385" s="2">
        <v>17000</v>
      </c>
      <c r="G385" s="40">
        <f>E385*F385</f>
        <v>3060000</v>
      </c>
      <c r="H385" s="42"/>
    </row>
    <row r="386" spans="1:771 1026:1795 2050:2819 3074:3843 4098:4867 5122:5891 6146:6915 7170:7939 8194:8963 9218:9987 10242:11011 11266:12035 12290:13059 13314:14083 14338:15107 15362:16131" s="35" customFormat="1" ht="65.400000000000006" thickBot="1" x14ac:dyDescent="0.35">
      <c r="A386" s="53"/>
      <c r="B386" s="54"/>
      <c r="C386" s="55" t="s">
        <v>2331</v>
      </c>
      <c r="D386" s="56"/>
      <c r="E386" s="5"/>
      <c r="F386" s="6"/>
      <c r="G386" s="57"/>
      <c r="H386" s="58"/>
    </row>
    <row r="387" spans="1:771 1026:1795 2050:2819 3074:3843 4098:4867 5122:5891 6146:6915 7170:7939 8194:8963 9218:9987 10242:11011 11266:12035 12290:13059 13314:14083 14338:15107 15362:16131" s="59" customFormat="1" ht="31.8" thickBot="1" x14ac:dyDescent="0.35">
      <c r="A387" s="154"/>
      <c r="B387" s="155" t="s">
        <v>26</v>
      </c>
      <c r="C387" s="156"/>
      <c r="D387" s="154"/>
      <c r="E387" s="157"/>
      <c r="F387" s="158"/>
      <c r="G387" s="159">
        <f>SUM(G379:G386)/2</f>
        <v>128948400</v>
      </c>
      <c r="H387" s="160"/>
      <c r="IX387" s="35"/>
      <c r="IY387" s="35"/>
      <c r="ST387" s="35"/>
      <c r="SU387" s="35"/>
      <c r="ACP387" s="35"/>
      <c r="ACQ387" s="35"/>
      <c r="AML387" s="35"/>
      <c r="AMM387" s="35"/>
      <c r="AWH387" s="35"/>
      <c r="AWI387" s="35"/>
      <c r="BGD387" s="35"/>
      <c r="BGE387" s="35"/>
      <c r="BPZ387" s="35"/>
      <c r="BQA387" s="35"/>
      <c r="BZV387" s="35"/>
      <c r="BZW387" s="35"/>
      <c r="CJR387" s="35"/>
      <c r="CJS387" s="35"/>
      <c r="CTN387" s="35"/>
      <c r="CTO387" s="35"/>
      <c r="DDJ387" s="35"/>
      <c r="DDK387" s="35"/>
      <c r="DNF387" s="35"/>
      <c r="DNG387" s="35"/>
      <c r="DXB387" s="35"/>
      <c r="DXC387" s="35"/>
      <c r="EGX387" s="35"/>
      <c r="EGY387" s="35"/>
      <c r="EQT387" s="35"/>
      <c r="EQU387" s="35"/>
      <c r="FAP387" s="35"/>
      <c r="FAQ387" s="35"/>
      <c r="FKL387" s="35"/>
      <c r="FKM387" s="35"/>
      <c r="FUH387" s="35"/>
      <c r="FUI387" s="35"/>
      <c r="GED387" s="35"/>
      <c r="GEE387" s="35"/>
      <c r="GNZ387" s="35"/>
      <c r="GOA387" s="35"/>
      <c r="GXV387" s="35"/>
      <c r="GXW387" s="35"/>
      <c r="HHR387" s="35"/>
      <c r="HHS387" s="35"/>
      <c r="HRN387" s="35"/>
      <c r="HRO387" s="35"/>
      <c r="IBJ387" s="35"/>
      <c r="IBK387" s="35"/>
      <c r="ILF387" s="35"/>
      <c r="ILG387" s="35"/>
      <c r="IVB387" s="35"/>
      <c r="IVC387" s="35"/>
      <c r="JEX387" s="35"/>
      <c r="JEY387" s="35"/>
      <c r="JOT387" s="35"/>
      <c r="JOU387" s="35"/>
      <c r="JYP387" s="35"/>
      <c r="JYQ387" s="35"/>
      <c r="KIL387" s="35"/>
      <c r="KIM387" s="35"/>
      <c r="KSH387" s="35"/>
      <c r="KSI387" s="35"/>
      <c r="LCD387" s="35"/>
      <c r="LCE387" s="35"/>
      <c r="LLZ387" s="35"/>
      <c r="LMA387" s="35"/>
      <c r="LVV387" s="35"/>
      <c r="LVW387" s="35"/>
      <c r="MFR387" s="35"/>
      <c r="MFS387" s="35"/>
      <c r="MPN387" s="35"/>
      <c r="MPO387" s="35"/>
      <c r="MZJ387" s="35"/>
      <c r="MZK387" s="35"/>
      <c r="NJF387" s="35"/>
      <c r="NJG387" s="35"/>
      <c r="NTB387" s="35"/>
      <c r="NTC387" s="35"/>
      <c r="OCX387" s="35"/>
      <c r="OCY387" s="35"/>
      <c r="OMT387" s="35"/>
      <c r="OMU387" s="35"/>
      <c r="OWP387" s="35"/>
      <c r="OWQ387" s="35"/>
      <c r="PGL387" s="35"/>
      <c r="PGM387" s="35"/>
      <c r="PQH387" s="35"/>
      <c r="PQI387" s="35"/>
      <c r="QAD387" s="35"/>
      <c r="QAE387" s="35"/>
      <c r="QJZ387" s="35"/>
      <c r="QKA387" s="35"/>
      <c r="QTV387" s="35"/>
      <c r="QTW387" s="35"/>
      <c r="RDR387" s="35"/>
      <c r="RDS387" s="35"/>
      <c r="RNN387" s="35"/>
      <c r="RNO387" s="35"/>
      <c r="RXJ387" s="35"/>
      <c r="RXK387" s="35"/>
      <c r="SHF387" s="35"/>
      <c r="SHG387" s="35"/>
      <c r="SRB387" s="35"/>
      <c r="SRC387" s="35"/>
      <c r="TAX387" s="35"/>
      <c r="TAY387" s="35"/>
      <c r="TKT387" s="35"/>
      <c r="TKU387" s="35"/>
      <c r="TUP387" s="35"/>
      <c r="TUQ387" s="35"/>
      <c r="UEL387" s="35"/>
      <c r="UEM387" s="35"/>
      <c r="UOH387" s="35"/>
      <c r="UOI387" s="35"/>
      <c r="UYD387" s="35"/>
      <c r="UYE387" s="35"/>
      <c r="VHZ387" s="35"/>
      <c r="VIA387" s="35"/>
      <c r="VRV387" s="35"/>
      <c r="VRW387" s="35"/>
      <c r="WBR387" s="35"/>
      <c r="WBS387" s="35"/>
      <c r="WLN387" s="35"/>
      <c r="WLO387" s="35"/>
      <c r="WVJ387" s="35"/>
      <c r="WVK387" s="35"/>
    </row>
    <row r="388" spans="1:771 1026:1795 2050:2819 3074:3843 4098:4867 5122:5891 6146:6915 7170:7939 8194:8963 9218:9987 10242:11011 11266:12035 12290:13059 13314:14083 14338:15107 15362:16131" s="35" customFormat="1" ht="55.2" x14ac:dyDescent="0.3">
      <c r="A388" s="28">
        <v>31</v>
      </c>
      <c r="B388" s="29" t="s">
        <v>356</v>
      </c>
      <c r="C388" s="30" t="s">
        <v>359</v>
      </c>
      <c r="D388" s="31" t="s">
        <v>13</v>
      </c>
      <c r="E388" s="32">
        <v>27.4</v>
      </c>
      <c r="F388" s="33"/>
      <c r="G388" s="33"/>
      <c r="H388" s="34" t="s">
        <v>360</v>
      </c>
    </row>
    <row r="389" spans="1:771 1026:1795 2050:2819 3074:3843 4098:4867 5122:5891 6146:6915 7170:7939 8194:8963 9218:9987 10242:11011 11266:12035 12290:13059 13314:14083 14338:15107 15362:16131" s="35" customFormat="1" ht="31.2" x14ac:dyDescent="0.3">
      <c r="A389" s="36"/>
      <c r="B389" s="37" t="s">
        <v>314</v>
      </c>
      <c r="C389" s="38" t="s">
        <v>14</v>
      </c>
      <c r="D389" s="39"/>
      <c r="E389" s="44"/>
      <c r="F389" s="40"/>
      <c r="G389" s="41">
        <f>SUM(G390)</f>
        <v>285069600</v>
      </c>
      <c r="H389" s="42"/>
    </row>
    <row r="390" spans="1:771 1026:1795 2050:2819 3074:3843 4098:4867 5122:5891 6146:6915 7170:7939 8194:8963 9218:9987 10242:11011 11266:12035 12290:13059 13314:14083 14338:15107 15362:16131" s="35" customFormat="1" ht="31.2" x14ac:dyDescent="0.3">
      <c r="A390" s="36"/>
      <c r="B390" s="37" t="s">
        <v>357</v>
      </c>
      <c r="C390" s="43" t="s">
        <v>55</v>
      </c>
      <c r="D390" s="39" t="s">
        <v>13</v>
      </c>
      <c r="E390" s="44">
        <v>27.4</v>
      </c>
      <c r="F390" s="153">
        <v>10404000</v>
      </c>
      <c r="G390" s="40">
        <f>E390*F390</f>
        <v>285069600</v>
      </c>
      <c r="H390" s="42"/>
    </row>
    <row r="391" spans="1:771 1026:1795 2050:2819 3074:3843 4098:4867 5122:5891 6146:6915 7170:7939 8194:8963 9218:9987 10242:11011 11266:12035 12290:13059 13314:14083 14338:15107 15362:16131" s="35" customFormat="1" ht="62.4" x14ac:dyDescent="0.3">
      <c r="A391" s="36"/>
      <c r="B391" s="46" t="s">
        <v>374</v>
      </c>
      <c r="C391" s="47" t="s">
        <v>35</v>
      </c>
      <c r="D391" s="39"/>
      <c r="E391" s="44"/>
      <c r="F391" s="40"/>
      <c r="G391" s="41">
        <f>SUM(G392:G406)</f>
        <v>28341894</v>
      </c>
      <c r="H391" s="45"/>
    </row>
    <row r="392" spans="1:771 1026:1795 2050:2819 3074:3843 4098:4867 5122:5891 6146:6915 7170:7939 8194:8963 9218:9987 10242:11011 11266:12035 12290:13059 13314:14083 14338:15107 15362:16131" s="35" customFormat="1" ht="78" x14ac:dyDescent="0.3">
      <c r="A392" s="36"/>
      <c r="B392" s="50" t="s">
        <v>358</v>
      </c>
      <c r="C392" s="48" t="s">
        <v>361</v>
      </c>
      <c r="D392" s="39" t="s">
        <v>13</v>
      </c>
      <c r="E392" s="44">
        <v>1.08</v>
      </c>
      <c r="F392" s="40">
        <f>3592000*40%</f>
        <v>1436800</v>
      </c>
      <c r="G392" s="40">
        <f t="shared" ref="G392:G406" si="9">E392*F392</f>
        <v>1551744</v>
      </c>
      <c r="H392" s="42" t="s">
        <v>2394</v>
      </c>
    </row>
    <row r="393" spans="1:771 1026:1795 2050:2819 3074:3843 4098:4867 5122:5891 6146:6915 7170:7939 8194:8963 9218:9987 10242:11011 11266:12035 12290:13059 13314:14083 14338:15107 15362:16131" s="35" customFormat="1" x14ac:dyDescent="0.3">
      <c r="A393" s="36"/>
      <c r="B393" s="46"/>
      <c r="C393" s="48" t="s">
        <v>18</v>
      </c>
      <c r="D393" s="39" t="s">
        <v>234</v>
      </c>
      <c r="E393" s="44">
        <v>6.1</v>
      </c>
      <c r="F393" s="40">
        <v>41000</v>
      </c>
      <c r="G393" s="40">
        <f t="shared" si="9"/>
        <v>250099.99999999997</v>
      </c>
      <c r="H393" s="52"/>
    </row>
    <row r="394" spans="1:771 1026:1795 2050:2819 3074:3843 4098:4867 5122:5891 6146:6915 7170:7939 8194:8963 9218:9987 10242:11011 11266:12035 12290:13059 13314:14083 14338:15107 15362:16131" s="35" customFormat="1" x14ac:dyDescent="0.3">
      <c r="A394" s="36"/>
      <c r="B394" s="46"/>
      <c r="C394" s="48" t="s">
        <v>362</v>
      </c>
      <c r="D394" s="39" t="s">
        <v>234</v>
      </c>
      <c r="E394" s="44">
        <v>9</v>
      </c>
      <c r="F394" s="40">
        <v>258000</v>
      </c>
      <c r="G394" s="40">
        <f t="shared" si="9"/>
        <v>2322000</v>
      </c>
      <c r="H394" s="52"/>
    </row>
    <row r="395" spans="1:771 1026:1795 2050:2819 3074:3843 4098:4867 5122:5891 6146:6915 7170:7939 8194:8963 9218:9987 10242:11011 11266:12035 12290:13059 13314:14083 14338:15107 15362:16131" s="35" customFormat="1" x14ac:dyDescent="0.3">
      <c r="A395" s="36"/>
      <c r="B395" s="46"/>
      <c r="C395" s="48" t="s">
        <v>189</v>
      </c>
      <c r="D395" s="39" t="s">
        <v>231</v>
      </c>
      <c r="E395" s="44">
        <v>9.9000000000000005E-2</v>
      </c>
      <c r="F395" s="40">
        <v>1421000</v>
      </c>
      <c r="G395" s="40">
        <f t="shared" si="9"/>
        <v>140679</v>
      </c>
      <c r="H395" s="52"/>
    </row>
    <row r="396" spans="1:771 1026:1795 2050:2819 3074:3843 4098:4867 5122:5891 6146:6915 7170:7939 8194:8963 9218:9987 10242:11011 11266:12035 12290:13059 13314:14083 14338:15107 15362:16131" s="35" customFormat="1" x14ac:dyDescent="0.3">
      <c r="A396" s="36"/>
      <c r="B396" s="46"/>
      <c r="C396" s="48" t="s">
        <v>363</v>
      </c>
      <c r="D396" s="39" t="s">
        <v>234</v>
      </c>
      <c r="E396" s="44">
        <v>0.99</v>
      </c>
      <c r="F396" s="40">
        <v>400000</v>
      </c>
      <c r="G396" s="40">
        <f t="shared" si="9"/>
        <v>396000</v>
      </c>
      <c r="H396" s="52"/>
    </row>
    <row r="397" spans="1:771 1026:1795 2050:2819 3074:3843 4098:4867 5122:5891 6146:6915 7170:7939 8194:8963 9218:9987 10242:11011 11266:12035 12290:13059 13314:14083 14338:15107 15362:16131" s="35" customFormat="1" x14ac:dyDescent="0.3">
      <c r="A397" s="36"/>
      <c r="B397" s="46"/>
      <c r="C397" s="48" t="s">
        <v>364</v>
      </c>
      <c r="D397" s="39" t="s">
        <v>234</v>
      </c>
      <c r="E397" s="44">
        <v>6.58</v>
      </c>
      <c r="F397" s="40">
        <v>100000</v>
      </c>
      <c r="G397" s="40">
        <f t="shared" si="9"/>
        <v>658000</v>
      </c>
      <c r="H397" s="52"/>
    </row>
    <row r="398" spans="1:771 1026:1795 2050:2819 3074:3843 4098:4867 5122:5891 6146:6915 7170:7939 8194:8963 9218:9987 10242:11011 11266:12035 12290:13059 13314:14083 14338:15107 15362:16131" s="35" customFormat="1" x14ac:dyDescent="0.3">
      <c r="A398" s="36"/>
      <c r="B398" s="46"/>
      <c r="C398" s="48" t="s">
        <v>187</v>
      </c>
      <c r="D398" s="39" t="s">
        <v>231</v>
      </c>
      <c r="E398" s="44">
        <v>1.008</v>
      </c>
      <c r="F398" s="40">
        <v>1946000</v>
      </c>
      <c r="G398" s="40">
        <f t="shared" si="9"/>
        <v>1961568</v>
      </c>
      <c r="H398" s="52"/>
    </row>
    <row r="399" spans="1:771 1026:1795 2050:2819 3074:3843 4098:4867 5122:5891 6146:6915 7170:7939 8194:8963 9218:9987 10242:11011 11266:12035 12290:13059 13314:14083 14338:15107 15362:16131" s="35" customFormat="1" x14ac:dyDescent="0.3">
      <c r="A399" s="36"/>
      <c r="B399" s="46"/>
      <c r="C399" s="48" t="s">
        <v>365</v>
      </c>
      <c r="D399" s="39" t="s">
        <v>234</v>
      </c>
      <c r="E399" s="44">
        <v>10.08</v>
      </c>
      <c r="F399" s="40">
        <v>107000</v>
      </c>
      <c r="G399" s="40">
        <f t="shared" si="9"/>
        <v>1078560</v>
      </c>
      <c r="H399" s="52"/>
    </row>
    <row r="400" spans="1:771 1026:1795 2050:2819 3074:3843 4098:4867 5122:5891 6146:6915 7170:7939 8194:8963 9218:9987 10242:11011 11266:12035 12290:13059 13314:14083 14338:15107 15362:16131" s="35" customFormat="1" x14ac:dyDescent="0.3">
      <c r="A400" s="36"/>
      <c r="B400" s="46"/>
      <c r="C400" s="48" t="s">
        <v>468</v>
      </c>
      <c r="D400" s="39" t="s">
        <v>231</v>
      </c>
      <c r="E400" s="44">
        <v>0.56000000000000005</v>
      </c>
      <c r="F400" s="40">
        <v>7627000</v>
      </c>
      <c r="G400" s="40">
        <f t="shared" si="9"/>
        <v>4271120</v>
      </c>
      <c r="H400" s="52"/>
    </row>
    <row r="401" spans="1:771 1026:1795 2050:2819 3074:3843 4098:4867 5122:5891 6146:6915 7170:7939 8194:8963 9218:9987 10242:11011 11266:12035 12290:13059 13314:14083 14338:15107 15362:16131" s="35" customFormat="1" ht="31.2" x14ac:dyDescent="0.3">
      <c r="A401" s="36"/>
      <c r="B401" s="46"/>
      <c r="C401" s="48" t="s">
        <v>366</v>
      </c>
      <c r="D401" s="39" t="s">
        <v>234</v>
      </c>
      <c r="E401" s="44">
        <v>11.44</v>
      </c>
      <c r="F401" s="40">
        <v>565000</v>
      </c>
      <c r="G401" s="40">
        <f t="shared" si="9"/>
        <v>6463600</v>
      </c>
      <c r="H401" s="52"/>
    </row>
    <row r="402" spans="1:771 1026:1795 2050:2819 3074:3843 4098:4867 5122:5891 6146:6915 7170:7939 8194:8963 9218:9987 10242:11011 11266:12035 12290:13059 13314:14083 14338:15107 15362:16131" s="35" customFormat="1" ht="31.2" x14ac:dyDescent="0.3">
      <c r="A402" s="36"/>
      <c r="B402" s="46"/>
      <c r="C402" s="48" t="s">
        <v>367</v>
      </c>
      <c r="D402" s="39" t="s">
        <v>234</v>
      </c>
      <c r="E402" s="44">
        <v>5.4080000000000004</v>
      </c>
      <c r="F402" s="40">
        <v>733000</v>
      </c>
      <c r="G402" s="40">
        <f t="shared" si="9"/>
        <v>3964064.0000000005</v>
      </c>
      <c r="H402" s="52"/>
    </row>
    <row r="403" spans="1:771 1026:1795 2050:2819 3074:3843 4098:4867 5122:5891 6146:6915 7170:7939 8194:8963 9218:9987 10242:11011 11266:12035 12290:13059 13314:14083 14338:15107 15362:16131" s="35" customFormat="1" x14ac:dyDescent="0.3">
      <c r="A403" s="36"/>
      <c r="B403" s="46"/>
      <c r="C403" s="48" t="s">
        <v>189</v>
      </c>
      <c r="D403" s="39" t="s">
        <v>231</v>
      </c>
      <c r="E403" s="44">
        <v>1.399</v>
      </c>
      <c r="F403" s="40">
        <v>1421000</v>
      </c>
      <c r="G403" s="40">
        <f t="shared" si="9"/>
        <v>1987979</v>
      </c>
      <c r="H403" s="52"/>
    </row>
    <row r="404" spans="1:771 1026:1795 2050:2819 3074:3843 4098:4867 5122:5891 6146:6915 7170:7939 8194:8963 9218:9987 10242:11011 11266:12035 12290:13059 13314:14083 14338:15107 15362:16131" s="35" customFormat="1" x14ac:dyDescent="0.3">
      <c r="A404" s="36"/>
      <c r="B404" s="46"/>
      <c r="C404" s="48" t="s">
        <v>190</v>
      </c>
      <c r="D404" s="39" t="s">
        <v>234</v>
      </c>
      <c r="E404" s="44">
        <v>13.99</v>
      </c>
      <c r="F404" s="40">
        <v>107000</v>
      </c>
      <c r="G404" s="40">
        <f t="shared" si="9"/>
        <v>1496930</v>
      </c>
      <c r="H404" s="52"/>
    </row>
    <row r="405" spans="1:771 1026:1795 2050:2819 3074:3843 4098:4867 5122:5891 6146:6915 7170:7939 8194:8963 9218:9987 10242:11011 11266:12035 12290:13059 13314:14083 14338:15107 15362:16131" s="35" customFormat="1" x14ac:dyDescent="0.3">
      <c r="A405" s="36"/>
      <c r="B405" s="46"/>
      <c r="C405" s="48" t="s">
        <v>362</v>
      </c>
      <c r="D405" s="39" t="s">
        <v>234</v>
      </c>
      <c r="E405" s="44">
        <v>6.9749999999999996</v>
      </c>
      <c r="F405" s="40">
        <v>258000</v>
      </c>
      <c r="G405" s="40">
        <f t="shared" si="9"/>
        <v>1799550</v>
      </c>
      <c r="H405" s="52"/>
    </row>
    <row r="406" spans="1:771 1026:1795 2050:2819 3074:3843 4098:4867 5122:5891 6146:6915 7170:7939 8194:8963 9218:9987 10242:11011 11266:12035 12290:13059 13314:14083 14338:15107 15362:16131" s="35" customFormat="1" x14ac:dyDescent="0.3">
      <c r="A406" s="36"/>
      <c r="B406" s="46"/>
      <c r="C406" s="48" t="s">
        <v>105</v>
      </c>
      <c r="D406" s="39" t="s">
        <v>106</v>
      </c>
      <c r="E406" s="44">
        <v>1</v>
      </c>
      <c r="F406" s="40"/>
      <c r="G406" s="40">
        <f t="shared" si="9"/>
        <v>0</v>
      </c>
      <c r="H406" s="52" t="s">
        <v>2353</v>
      </c>
    </row>
    <row r="407" spans="1:771 1026:1795 2050:2819 3074:3843 4098:4867 5122:5891 6146:6915 7170:7939 8194:8963 9218:9987 10242:11011 11266:12035 12290:13059 13314:14083 14338:15107 15362:16131" s="35" customFormat="1" x14ac:dyDescent="0.3">
      <c r="A407" s="36"/>
      <c r="B407" s="46"/>
      <c r="C407" s="51" t="s">
        <v>20</v>
      </c>
      <c r="D407" s="39"/>
      <c r="E407" s="44"/>
      <c r="F407" s="40"/>
      <c r="G407" s="41">
        <f>SUM(G408:G409)</f>
        <v>360000</v>
      </c>
      <c r="H407" s="52"/>
    </row>
    <row r="408" spans="1:771 1026:1795 2050:2819 3074:3843 4098:4867 5122:5891 6146:6915 7170:7939 8194:8963 9218:9987 10242:11011 11266:12035 12290:13059 13314:14083 14338:15107 15362:16131" s="77" customFormat="1" x14ac:dyDescent="0.3">
      <c r="A408" s="36"/>
      <c r="B408" s="37"/>
      <c r="C408" s="75" t="s">
        <v>368</v>
      </c>
      <c r="D408" s="76" t="s">
        <v>21</v>
      </c>
      <c r="E408" s="73">
        <v>1</v>
      </c>
      <c r="F408" s="74">
        <v>300000</v>
      </c>
      <c r="G408" s="40">
        <f>E408*F408</f>
        <v>300000</v>
      </c>
      <c r="H408" s="52"/>
    </row>
    <row r="409" spans="1:771 1026:1795 2050:2819 3074:3843 4098:4867 5122:5891 6146:6915 7170:7939 8194:8963 9218:9987 10242:11011 11266:12035 12290:13059 13314:14083 14338:15107 15362:16131" s="77" customFormat="1" x14ac:dyDescent="0.3">
      <c r="A409" s="36"/>
      <c r="B409" s="37"/>
      <c r="C409" s="75" t="s">
        <v>369</v>
      </c>
      <c r="D409" s="76" t="s">
        <v>21</v>
      </c>
      <c r="E409" s="73">
        <v>1</v>
      </c>
      <c r="F409" s="74">
        <v>60000</v>
      </c>
      <c r="G409" s="40">
        <f>E409*F409</f>
        <v>60000</v>
      </c>
      <c r="H409" s="52"/>
    </row>
    <row r="410" spans="1:771 1026:1795 2050:2819 3074:3843 4098:4867 5122:5891 6146:6915 7170:7939 8194:8963 9218:9987 10242:11011 11266:12035 12290:13059 13314:14083 14338:15107 15362:16131" s="35" customFormat="1" x14ac:dyDescent="0.3">
      <c r="A410" s="36"/>
      <c r="B410" s="46"/>
      <c r="C410" s="51" t="s">
        <v>23</v>
      </c>
      <c r="D410" s="39"/>
      <c r="E410" s="1"/>
      <c r="F410" s="2"/>
      <c r="G410" s="41">
        <f>SUM(G411)</f>
        <v>3060000</v>
      </c>
      <c r="H410" s="52"/>
    </row>
    <row r="411" spans="1:771 1026:1795 2050:2819 3074:3843 4098:4867 5122:5891 6146:6915 7170:7939 8194:8963 9218:9987 10242:11011 11266:12035 12290:13059 13314:14083 14338:15107 15362:16131" s="35" customFormat="1" x14ac:dyDescent="0.3">
      <c r="A411" s="36"/>
      <c r="B411" s="46"/>
      <c r="C411" s="50" t="s">
        <v>24</v>
      </c>
      <c r="D411" s="39" t="s">
        <v>25</v>
      </c>
      <c r="E411" s="1">
        <f>1*30*6</f>
        <v>180</v>
      </c>
      <c r="F411" s="2">
        <v>17000</v>
      </c>
      <c r="G411" s="40">
        <f>E411*F411</f>
        <v>3060000</v>
      </c>
      <c r="H411" s="42"/>
    </row>
    <row r="412" spans="1:771 1026:1795 2050:2819 3074:3843 4098:4867 5122:5891 6146:6915 7170:7939 8194:8963 9218:9987 10242:11011 11266:12035 12290:13059 13314:14083 14338:15107 15362:16131" s="35" customFormat="1" ht="65.400000000000006" thickBot="1" x14ac:dyDescent="0.35">
      <c r="A412" s="53"/>
      <c r="B412" s="54"/>
      <c r="C412" s="55" t="s">
        <v>2331</v>
      </c>
      <c r="D412" s="56"/>
      <c r="E412" s="5"/>
      <c r="F412" s="6"/>
      <c r="G412" s="57"/>
      <c r="H412" s="58"/>
    </row>
    <row r="413" spans="1:771 1026:1795 2050:2819 3074:3843 4098:4867 5122:5891 6146:6915 7170:7939 8194:8963 9218:9987 10242:11011 11266:12035 12290:13059 13314:14083 14338:15107 15362:16131" s="59" customFormat="1" ht="31.8" thickBot="1" x14ac:dyDescent="0.35">
      <c r="A413" s="154"/>
      <c r="B413" s="155" t="s">
        <v>26</v>
      </c>
      <c r="C413" s="156"/>
      <c r="D413" s="154"/>
      <c r="E413" s="157"/>
      <c r="F413" s="158"/>
      <c r="G413" s="159">
        <f>SUM(G388:G412)/2</f>
        <v>316831494</v>
      </c>
      <c r="H413" s="160"/>
      <c r="IX413" s="35"/>
      <c r="IY413" s="35"/>
      <c r="ST413" s="35"/>
      <c r="SU413" s="35"/>
      <c r="ACP413" s="35"/>
      <c r="ACQ413" s="35"/>
      <c r="AML413" s="35"/>
      <c r="AMM413" s="35"/>
      <c r="AWH413" s="35"/>
      <c r="AWI413" s="35"/>
      <c r="BGD413" s="35"/>
      <c r="BGE413" s="35"/>
      <c r="BPZ413" s="35"/>
      <c r="BQA413" s="35"/>
      <c r="BZV413" s="35"/>
      <c r="BZW413" s="35"/>
      <c r="CJR413" s="35"/>
      <c r="CJS413" s="35"/>
      <c r="CTN413" s="35"/>
      <c r="CTO413" s="35"/>
      <c r="DDJ413" s="35"/>
      <c r="DDK413" s="35"/>
      <c r="DNF413" s="35"/>
      <c r="DNG413" s="35"/>
      <c r="DXB413" s="35"/>
      <c r="DXC413" s="35"/>
      <c r="EGX413" s="35"/>
      <c r="EGY413" s="35"/>
      <c r="EQT413" s="35"/>
      <c r="EQU413" s="35"/>
      <c r="FAP413" s="35"/>
      <c r="FAQ413" s="35"/>
      <c r="FKL413" s="35"/>
      <c r="FKM413" s="35"/>
      <c r="FUH413" s="35"/>
      <c r="FUI413" s="35"/>
      <c r="GED413" s="35"/>
      <c r="GEE413" s="35"/>
      <c r="GNZ413" s="35"/>
      <c r="GOA413" s="35"/>
      <c r="GXV413" s="35"/>
      <c r="GXW413" s="35"/>
      <c r="HHR413" s="35"/>
      <c r="HHS413" s="35"/>
      <c r="HRN413" s="35"/>
      <c r="HRO413" s="35"/>
      <c r="IBJ413" s="35"/>
      <c r="IBK413" s="35"/>
      <c r="ILF413" s="35"/>
      <c r="ILG413" s="35"/>
      <c r="IVB413" s="35"/>
      <c r="IVC413" s="35"/>
      <c r="JEX413" s="35"/>
      <c r="JEY413" s="35"/>
      <c r="JOT413" s="35"/>
      <c r="JOU413" s="35"/>
      <c r="JYP413" s="35"/>
      <c r="JYQ413" s="35"/>
      <c r="KIL413" s="35"/>
      <c r="KIM413" s="35"/>
      <c r="KSH413" s="35"/>
      <c r="KSI413" s="35"/>
      <c r="LCD413" s="35"/>
      <c r="LCE413" s="35"/>
      <c r="LLZ413" s="35"/>
      <c r="LMA413" s="35"/>
      <c r="LVV413" s="35"/>
      <c r="LVW413" s="35"/>
      <c r="MFR413" s="35"/>
      <c r="MFS413" s="35"/>
      <c r="MPN413" s="35"/>
      <c r="MPO413" s="35"/>
      <c r="MZJ413" s="35"/>
      <c r="MZK413" s="35"/>
      <c r="NJF413" s="35"/>
      <c r="NJG413" s="35"/>
      <c r="NTB413" s="35"/>
      <c r="NTC413" s="35"/>
      <c r="OCX413" s="35"/>
      <c r="OCY413" s="35"/>
      <c r="OMT413" s="35"/>
      <c r="OMU413" s="35"/>
      <c r="OWP413" s="35"/>
      <c r="OWQ413" s="35"/>
      <c r="PGL413" s="35"/>
      <c r="PGM413" s="35"/>
      <c r="PQH413" s="35"/>
      <c r="PQI413" s="35"/>
      <c r="QAD413" s="35"/>
      <c r="QAE413" s="35"/>
      <c r="QJZ413" s="35"/>
      <c r="QKA413" s="35"/>
      <c r="QTV413" s="35"/>
      <c r="QTW413" s="35"/>
      <c r="RDR413" s="35"/>
      <c r="RDS413" s="35"/>
      <c r="RNN413" s="35"/>
      <c r="RNO413" s="35"/>
      <c r="RXJ413" s="35"/>
      <c r="RXK413" s="35"/>
      <c r="SHF413" s="35"/>
      <c r="SHG413" s="35"/>
      <c r="SRB413" s="35"/>
      <c r="SRC413" s="35"/>
      <c r="TAX413" s="35"/>
      <c r="TAY413" s="35"/>
      <c r="TKT413" s="35"/>
      <c r="TKU413" s="35"/>
      <c r="TUP413" s="35"/>
      <c r="TUQ413" s="35"/>
      <c r="UEL413" s="35"/>
      <c r="UEM413" s="35"/>
      <c r="UOH413" s="35"/>
      <c r="UOI413" s="35"/>
      <c r="UYD413" s="35"/>
      <c r="UYE413" s="35"/>
      <c r="VHZ413" s="35"/>
      <c r="VIA413" s="35"/>
      <c r="VRV413" s="35"/>
      <c r="VRW413" s="35"/>
      <c r="WBR413" s="35"/>
      <c r="WBS413" s="35"/>
      <c r="WLN413" s="35"/>
      <c r="WLO413" s="35"/>
      <c r="WVJ413" s="35"/>
      <c r="WVK413" s="35"/>
    </row>
    <row r="414" spans="1:771 1026:1795 2050:2819 3074:3843 4098:4867 5122:5891 6146:6915 7170:7939 8194:8963 9218:9987 10242:11011 11266:12035 12290:13059 13314:14083 14338:15107 15362:16131" s="35" customFormat="1" ht="55.2" x14ac:dyDescent="0.3">
      <c r="A414" s="28">
        <v>32</v>
      </c>
      <c r="B414" s="29" t="s">
        <v>370</v>
      </c>
      <c r="C414" s="30" t="s">
        <v>2162</v>
      </c>
      <c r="D414" s="31" t="s">
        <v>13</v>
      </c>
      <c r="E414" s="32">
        <v>10.4</v>
      </c>
      <c r="F414" s="33"/>
      <c r="G414" s="33"/>
      <c r="H414" s="34" t="s">
        <v>376</v>
      </c>
    </row>
    <row r="415" spans="1:771 1026:1795 2050:2819 3074:3843 4098:4867 5122:5891 6146:6915 7170:7939 8194:8963 9218:9987 10242:11011 11266:12035 12290:13059 13314:14083 14338:15107 15362:16131" s="35" customFormat="1" ht="31.2" x14ac:dyDescent="0.3">
      <c r="A415" s="36"/>
      <c r="B415" s="37" t="s">
        <v>371</v>
      </c>
      <c r="C415" s="38" t="s">
        <v>14</v>
      </c>
      <c r="D415" s="39"/>
      <c r="E415" s="44"/>
      <c r="F415" s="40"/>
      <c r="G415" s="41">
        <f>SUM(G416:G418)</f>
        <v>358641600</v>
      </c>
      <c r="H415" s="42"/>
    </row>
    <row r="416" spans="1:771 1026:1795 2050:2819 3074:3843 4098:4867 5122:5891 6146:6915 7170:7939 8194:8963 9218:9987 10242:11011 11266:12035 12290:13059 13314:14083 14338:15107 15362:16131" s="35" customFormat="1" ht="18.600000000000001" x14ac:dyDescent="0.3">
      <c r="A416" s="36"/>
      <c r="B416" s="37" t="s">
        <v>372</v>
      </c>
      <c r="C416" s="48" t="s">
        <v>38</v>
      </c>
      <c r="D416" s="39" t="s">
        <v>13</v>
      </c>
      <c r="E416" s="44">
        <v>10.4</v>
      </c>
      <c r="F416" s="161">
        <v>19479000</v>
      </c>
      <c r="G416" s="40">
        <f>E416*F416</f>
        <v>202581600</v>
      </c>
      <c r="H416" s="42"/>
    </row>
    <row r="417" spans="1:771 1026:1795 2050:2819 3074:3843 4098:4867 5122:5891 6146:6915 7170:7939 8194:8963 9218:9987 10242:11011 11266:12035 12290:13059 13314:14083 14338:15107 15362:16131" s="35" customFormat="1" ht="41.4" x14ac:dyDescent="0.3">
      <c r="A417" s="36"/>
      <c r="B417" s="70"/>
      <c r="C417" s="48" t="s">
        <v>2252</v>
      </c>
      <c r="D417" s="39" t="s">
        <v>13</v>
      </c>
      <c r="E417" s="44">
        <v>15</v>
      </c>
      <c r="F417" s="40"/>
      <c r="G417" s="40"/>
      <c r="H417" s="42" t="s">
        <v>1283</v>
      </c>
    </row>
    <row r="418" spans="1:771 1026:1795 2050:2819 3074:3843 4098:4867 5122:5891 6146:6915 7170:7939 8194:8963 9218:9987 10242:11011 11266:12035 12290:13059 13314:14083 14338:15107 15362:16131" s="35" customFormat="1" ht="31.2" x14ac:dyDescent="0.3">
      <c r="A418" s="36"/>
      <c r="B418" s="72"/>
      <c r="C418" s="43" t="s">
        <v>55</v>
      </c>
      <c r="D418" s="39" t="s">
        <v>13</v>
      </c>
      <c r="E418" s="73">
        <v>15</v>
      </c>
      <c r="F418" s="153">
        <v>10404000</v>
      </c>
      <c r="G418" s="40">
        <f>E418*F418</f>
        <v>156060000</v>
      </c>
      <c r="H418" s="42"/>
    </row>
    <row r="419" spans="1:771 1026:1795 2050:2819 3074:3843 4098:4867 5122:5891 6146:6915 7170:7939 8194:8963 9218:9987 10242:11011 11266:12035 12290:13059 13314:14083 14338:15107 15362:16131" s="35" customFormat="1" ht="62.4" x14ac:dyDescent="0.3">
      <c r="A419" s="36"/>
      <c r="B419" s="46" t="s">
        <v>373</v>
      </c>
      <c r="C419" s="47" t="s">
        <v>35</v>
      </c>
      <c r="D419" s="39"/>
      <c r="E419" s="44"/>
      <c r="F419" s="40"/>
      <c r="G419" s="41">
        <f>SUM(G420:G422)</f>
        <v>4828140</v>
      </c>
      <c r="H419" s="45"/>
    </row>
    <row r="420" spans="1:771 1026:1795 2050:2819 3074:3843 4098:4867 5122:5891 6146:6915 7170:7939 8194:8963 9218:9987 10242:11011 11266:12035 12290:13059 13314:14083 14338:15107 15362:16131" s="35" customFormat="1" ht="46.8" x14ac:dyDescent="0.3">
      <c r="A420" s="36"/>
      <c r="B420" s="50" t="s">
        <v>375</v>
      </c>
      <c r="C420" s="48" t="s">
        <v>377</v>
      </c>
      <c r="D420" s="39" t="s">
        <v>13</v>
      </c>
      <c r="E420" s="44">
        <v>10.19</v>
      </c>
      <c r="F420" s="40">
        <f>540000*40%</f>
        <v>216000</v>
      </c>
      <c r="G420" s="40">
        <f>E420*F420</f>
        <v>2201040</v>
      </c>
      <c r="H420" s="42" t="s">
        <v>2395</v>
      </c>
    </row>
    <row r="421" spans="1:771 1026:1795 2050:2819 3074:3843 4098:4867 5122:5891 6146:6915 7170:7939 8194:8963 9218:9987 10242:11011 11266:12035 12290:13059 13314:14083 14338:15107 15362:16131" s="77" customFormat="1" ht="18.600000000000001" x14ac:dyDescent="0.3">
      <c r="A421" s="36"/>
      <c r="B421" s="75"/>
      <c r="C421" s="66" t="s">
        <v>232</v>
      </c>
      <c r="D421" s="39" t="s">
        <v>128</v>
      </c>
      <c r="E421" s="73">
        <f>0.5*0.5*2.7*2</f>
        <v>1.35</v>
      </c>
      <c r="F421" s="40">
        <v>1946000</v>
      </c>
      <c r="G421" s="40">
        <f>E421*F421</f>
        <v>2627100</v>
      </c>
      <c r="H421" s="45"/>
    </row>
    <row r="422" spans="1:771 1026:1795 2050:2819 3074:3843 4098:4867 5122:5891 6146:6915 7170:7939 8194:8963 9218:9987 10242:11011 11266:12035 12290:13059 13314:14083 14338:15107 15362:16131" s="77" customFormat="1" ht="55.2" x14ac:dyDescent="0.3">
      <c r="A422" s="36"/>
      <c r="B422" s="75"/>
      <c r="C422" s="66" t="s">
        <v>1284</v>
      </c>
      <c r="D422" s="39" t="s">
        <v>13</v>
      </c>
      <c r="E422" s="73">
        <v>14.47</v>
      </c>
      <c r="F422" s="74"/>
      <c r="G422" s="40">
        <f>E422*F422</f>
        <v>0</v>
      </c>
      <c r="H422" s="45" t="s">
        <v>2396</v>
      </c>
    </row>
    <row r="423" spans="1:771 1026:1795 2050:2819 3074:3843 4098:4867 5122:5891 6146:6915 7170:7939 8194:8963 9218:9987 10242:11011 11266:12035 12290:13059 13314:14083 14338:15107 15362:16131" s="35" customFormat="1" x14ac:dyDescent="0.3">
      <c r="A423" s="36"/>
      <c r="B423" s="46"/>
      <c r="C423" s="51" t="s">
        <v>20</v>
      </c>
      <c r="D423" s="39"/>
      <c r="E423" s="44"/>
      <c r="F423" s="40"/>
      <c r="G423" s="41">
        <f>SUM(G424:G425)</f>
        <v>240000</v>
      </c>
      <c r="H423" s="52"/>
    </row>
    <row r="424" spans="1:771 1026:1795 2050:2819 3074:3843 4098:4867 5122:5891 6146:6915 7170:7939 8194:8963 9218:9987 10242:11011 11266:12035 12290:13059 13314:14083 14338:15107 15362:16131" s="35" customFormat="1" x14ac:dyDescent="0.3">
      <c r="A424" s="36"/>
      <c r="B424" s="46"/>
      <c r="C424" s="75" t="s">
        <v>368</v>
      </c>
      <c r="D424" s="76" t="s">
        <v>21</v>
      </c>
      <c r="E424" s="73">
        <v>1</v>
      </c>
      <c r="F424" s="74">
        <v>200000</v>
      </c>
      <c r="G424" s="40">
        <f>E424*F424</f>
        <v>200000</v>
      </c>
      <c r="H424" s="52"/>
    </row>
    <row r="425" spans="1:771 1026:1795 2050:2819 3074:3843 4098:4867 5122:5891 6146:6915 7170:7939 8194:8963 9218:9987 10242:11011 11266:12035 12290:13059 13314:14083 14338:15107 15362:16131" s="77" customFormat="1" x14ac:dyDescent="0.3">
      <c r="A425" s="36"/>
      <c r="B425" s="37"/>
      <c r="C425" s="75" t="s">
        <v>369</v>
      </c>
      <c r="D425" s="76" t="s">
        <v>21</v>
      </c>
      <c r="E425" s="73">
        <v>1</v>
      </c>
      <c r="F425" s="74">
        <v>40000</v>
      </c>
      <c r="G425" s="40">
        <f>E425*F425</f>
        <v>40000</v>
      </c>
      <c r="H425" s="52"/>
    </row>
    <row r="426" spans="1:771 1026:1795 2050:2819 3074:3843 4098:4867 5122:5891 6146:6915 7170:7939 8194:8963 9218:9987 10242:11011 11266:12035 12290:13059 13314:14083 14338:15107 15362:16131" s="35" customFormat="1" x14ac:dyDescent="0.3">
      <c r="A426" s="36"/>
      <c r="B426" s="46"/>
      <c r="C426" s="51" t="s">
        <v>23</v>
      </c>
      <c r="D426" s="39"/>
      <c r="E426" s="1"/>
      <c r="F426" s="2"/>
      <c r="G426" s="41">
        <f>SUM(G427)</f>
        <v>3060000</v>
      </c>
      <c r="H426" s="52"/>
    </row>
    <row r="427" spans="1:771 1026:1795 2050:2819 3074:3843 4098:4867 5122:5891 6146:6915 7170:7939 8194:8963 9218:9987 10242:11011 11266:12035 12290:13059 13314:14083 14338:15107 15362:16131" s="35" customFormat="1" x14ac:dyDescent="0.3">
      <c r="A427" s="36"/>
      <c r="B427" s="46"/>
      <c r="C427" s="50" t="s">
        <v>24</v>
      </c>
      <c r="D427" s="39" t="s">
        <v>25</v>
      </c>
      <c r="E427" s="1">
        <f>1*30*6</f>
        <v>180</v>
      </c>
      <c r="F427" s="2">
        <v>17000</v>
      </c>
      <c r="G427" s="40">
        <f>E427*F427</f>
        <v>3060000</v>
      </c>
      <c r="H427" s="42"/>
    </row>
    <row r="428" spans="1:771 1026:1795 2050:2819 3074:3843 4098:4867 5122:5891 6146:6915 7170:7939 8194:8963 9218:9987 10242:11011 11266:12035 12290:13059 13314:14083 14338:15107 15362:16131" s="35" customFormat="1" ht="65.400000000000006" thickBot="1" x14ac:dyDescent="0.35">
      <c r="A428" s="53"/>
      <c r="B428" s="54"/>
      <c r="C428" s="55" t="s">
        <v>2331</v>
      </c>
      <c r="D428" s="56"/>
      <c r="E428" s="5"/>
      <c r="F428" s="6"/>
      <c r="G428" s="57"/>
      <c r="H428" s="58"/>
    </row>
    <row r="429" spans="1:771 1026:1795 2050:2819 3074:3843 4098:4867 5122:5891 6146:6915 7170:7939 8194:8963 9218:9987 10242:11011 11266:12035 12290:13059 13314:14083 14338:15107 15362:16131" s="59" customFormat="1" ht="31.8" thickBot="1" x14ac:dyDescent="0.35">
      <c r="A429" s="154"/>
      <c r="B429" s="155" t="s">
        <v>26</v>
      </c>
      <c r="C429" s="156"/>
      <c r="D429" s="154"/>
      <c r="E429" s="157"/>
      <c r="F429" s="158"/>
      <c r="G429" s="159">
        <f>SUM(G414:G428)/2</f>
        <v>366769740</v>
      </c>
      <c r="H429" s="160"/>
      <c r="IX429" s="35"/>
      <c r="IY429" s="35"/>
      <c r="ST429" s="35"/>
      <c r="SU429" s="35"/>
      <c r="ACP429" s="35"/>
      <c r="ACQ429" s="35"/>
      <c r="AML429" s="35"/>
      <c r="AMM429" s="35"/>
      <c r="AWH429" s="35"/>
      <c r="AWI429" s="35"/>
      <c r="BGD429" s="35"/>
      <c r="BGE429" s="35"/>
      <c r="BPZ429" s="35"/>
      <c r="BQA429" s="35"/>
      <c r="BZV429" s="35"/>
      <c r="BZW429" s="35"/>
      <c r="CJR429" s="35"/>
      <c r="CJS429" s="35"/>
      <c r="CTN429" s="35"/>
      <c r="CTO429" s="35"/>
      <c r="DDJ429" s="35"/>
      <c r="DDK429" s="35"/>
      <c r="DNF429" s="35"/>
      <c r="DNG429" s="35"/>
      <c r="DXB429" s="35"/>
      <c r="DXC429" s="35"/>
      <c r="EGX429" s="35"/>
      <c r="EGY429" s="35"/>
      <c r="EQT429" s="35"/>
      <c r="EQU429" s="35"/>
      <c r="FAP429" s="35"/>
      <c r="FAQ429" s="35"/>
      <c r="FKL429" s="35"/>
      <c r="FKM429" s="35"/>
      <c r="FUH429" s="35"/>
      <c r="FUI429" s="35"/>
      <c r="GED429" s="35"/>
      <c r="GEE429" s="35"/>
      <c r="GNZ429" s="35"/>
      <c r="GOA429" s="35"/>
      <c r="GXV429" s="35"/>
      <c r="GXW429" s="35"/>
      <c r="HHR429" s="35"/>
      <c r="HHS429" s="35"/>
      <c r="HRN429" s="35"/>
      <c r="HRO429" s="35"/>
      <c r="IBJ429" s="35"/>
      <c r="IBK429" s="35"/>
      <c r="ILF429" s="35"/>
      <c r="ILG429" s="35"/>
      <c r="IVB429" s="35"/>
      <c r="IVC429" s="35"/>
      <c r="JEX429" s="35"/>
      <c r="JEY429" s="35"/>
      <c r="JOT429" s="35"/>
      <c r="JOU429" s="35"/>
      <c r="JYP429" s="35"/>
      <c r="JYQ429" s="35"/>
      <c r="KIL429" s="35"/>
      <c r="KIM429" s="35"/>
      <c r="KSH429" s="35"/>
      <c r="KSI429" s="35"/>
      <c r="LCD429" s="35"/>
      <c r="LCE429" s="35"/>
      <c r="LLZ429" s="35"/>
      <c r="LMA429" s="35"/>
      <c r="LVV429" s="35"/>
      <c r="LVW429" s="35"/>
      <c r="MFR429" s="35"/>
      <c r="MFS429" s="35"/>
      <c r="MPN429" s="35"/>
      <c r="MPO429" s="35"/>
      <c r="MZJ429" s="35"/>
      <c r="MZK429" s="35"/>
      <c r="NJF429" s="35"/>
      <c r="NJG429" s="35"/>
      <c r="NTB429" s="35"/>
      <c r="NTC429" s="35"/>
      <c r="OCX429" s="35"/>
      <c r="OCY429" s="35"/>
      <c r="OMT429" s="35"/>
      <c r="OMU429" s="35"/>
      <c r="OWP429" s="35"/>
      <c r="OWQ429" s="35"/>
      <c r="PGL429" s="35"/>
      <c r="PGM429" s="35"/>
      <c r="PQH429" s="35"/>
      <c r="PQI429" s="35"/>
      <c r="QAD429" s="35"/>
      <c r="QAE429" s="35"/>
      <c r="QJZ429" s="35"/>
      <c r="QKA429" s="35"/>
      <c r="QTV429" s="35"/>
      <c r="QTW429" s="35"/>
      <c r="RDR429" s="35"/>
      <c r="RDS429" s="35"/>
      <c r="RNN429" s="35"/>
      <c r="RNO429" s="35"/>
      <c r="RXJ429" s="35"/>
      <c r="RXK429" s="35"/>
      <c r="SHF429" s="35"/>
      <c r="SHG429" s="35"/>
      <c r="SRB429" s="35"/>
      <c r="SRC429" s="35"/>
      <c r="TAX429" s="35"/>
      <c r="TAY429" s="35"/>
      <c r="TKT429" s="35"/>
      <c r="TKU429" s="35"/>
      <c r="TUP429" s="35"/>
      <c r="TUQ429" s="35"/>
      <c r="UEL429" s="35"/>
      <c r="UEM429" s="35"/>
      <c r="UOH429" s="35"/>
      <c r="UOI429" s="35"/>
      <c r="UYD429" s="35"/>
      <c r="UYE429" s="35"/>
      <c r="VHZ429" s="35"/>
      <c r="VIA429" s="35"/>
      <c r="VRV429" s="35"/>
      <c r="VRW429" s="35"/>
      <c r="WBR429" s="35"/>
      <c r="WBS429" s="35"/>
      <c r="WLN429" s="35"/>
      <c r="WLO429" s="35"/>
      <c r="WVJ429" s="35"/>
      <c r="WVK429" s="35"/>
    </row>
    <row r="430" spans="1:771 1026:1795 2050:2819 3074:3843 4098:4867 5122:5891 6146:6915 7170:7939 8194:8963 9218:9987 10242:11011 11266:12035 12290:13059 13314:14083 14338:15107 15362:16131" s="35" customFormat="1" ht="55.2" x14ac:dyDescent="0.3">
      <c r="A430" s="28">
        <v>33</v>
      </c>
      <c r="B430" s="29" t="s">
        <v>378</v>
      </c>
      <c r="C430" s="30" t="s">
        <v>2165</v>
      </c>
      <c r="D430" s="31" t="s">
        <v>13</v>
      </c>
      <c r="E430" s="32">
        <v>12.3</v>
      </c>
      <c r="F430" s="33"/>
      <c r="G430" s="33"/>
      <c r="H430" s="34" t="s">
        <v>2166</v>
      </c>
    </row>
    <row r="431" spans="1:771 1026:1795 2050:2819 3074:3843 4098:4867 5122:5891 6146:6915 7170:7939 8194:8963 9218:9987 10242:11011 11266:12035 12290:13059 13314:14083 14338:15107 15362:16131" s="35" customFormat="1" ht="31.2" x14ac:dyDescent="0.3">
      <c r="A431" s="36"/>
      <c r="B431" s="37" t="s">
        <v>65</v>
      </c>
      <c r="C431" s="38" t="s">
        <v>14</v>
      </c>
      <c r="D431" s="39"/>
      <c r="E431" s="44"/>
      <c r="F431" s="40"/>
      <c r="G431" s="41">
        <f>SUM(G432)</f>
        <v>239591700</v>
      </c>
      <c r="H431" s="42"/>
    </row>
    <row r="432" spans="1:771 1026:1795 2050:2819 3074:3843 4098:4867 5122:5891 6146:6915 7170:7939 8194:8963 9218:9987 10242:11011 11266:12035 12290:13059 13314:14083 14338:15107 15362:16131" s="35" customFormat="1" ht="18.600000000000001" x14ac:dyDescent="0.3">
      <c r="A432" s="36"/>
      <c r="B432" s="37" t="s">
        <v>326</v>
      </c>
      <c r="C432" s="48" t="s">
        <v>38</v>
      </c>
      <c r="D432" s="39" t="s">
        <v>13</v>
      </c>
      <c r="E432" s="44">
        <v>12.3</v>
      </c>
      <c r="F432" s="161">
        <v>19479000</v>
      </c>
      <c r="G432" s="40">
        <f>E432*F432</f>
        <v>239591700</v>
      </c>
      <c r="H432" s="42"/>
    </row>
    <row r="433" spans="1:771 1026:1795 2050:2819 3074:3843 4098:4867 5122:5891 6146:6915 7170:7939 8194:8963 9218:9987 10242:11011 11266:12035 12290:13059 13314:14083 14338:15107 15362:16131" s="35" customFormat="1" ht="62.4" x14ac:dyDescent="0.3">
      <c r="A433" s="36"/>
      <c r="B433" s="46" t="s">
        <v>379</v>
      </c>
      <c r="C433" s="47" t="s">
        <v>35</v>
      </c>
      <c r="D433" s="39"/>
      <c r="E433" s="44"/>
      <c r="F433" s="40"/>
      <c r="G433" s="41">
        <f>SUM(G434)</f>
        <v>1959174</v>
      </c>
      <c r="H433" s="42"/>
    </row>
    <row r="434" spans="1:771 1026:1795 2050:2819 3074:3843 4098:4867 5122:5891 6146:6915 7170:7939 8194:8963 9218:9987 10242:11011 11266:12035 12290:13059 13314:14083 14338:15107 15362:16131" s="35" customFormat="1" ht="18.600000000000001" x14ac:dyDescent="0.3">
      <c r="A434" s="36"/>
      <c r="B434" s="50" t="s">
        <v>380</v>
      </c>
      <c r="C434" s="48" t="s">
        <v>260</v>
      </c>
      <c r="D434" s="39" t="s">
        <v>13</v>
      </c>
      <c r="E434" s="44">
        <v>1.278</v>
      </c>
      <c r="F434" s="40">
        <v>1533000</v>
      </c>
      <c r="G434" s="40">
        <f>E434*F434</f>
        <v>1959174</v>
      </c>
      <c r="H434" s="45"/>
    </row>
    <row r="435" spans="1:771 1026:1795 2050:2819 3074:3843 4098:4867 5122:5891 6146:6915 7170:7939 8194:8963 9218:9987 10242:11011 11266:12035 12290:13059 13314:14083 14338:15107 15362:16131" s="35" customFormat="1" ht="65.400000000000006" thickBot="1" x14ac:dyDescent="0.35">
      <c r="A435" s="53"/>
      <c r="B435" s="54"/>
      <c r="C435" s="55" t="s">
        <v>2331</v>
      </c>
      <c r="D435" s="56"/>
      <c r="E435" s="5"/>
      <c r="F435" s="6"/>
      <c r="G435" s="57"/>
      <c r="H435" s="58"/>
    </row>
    <row r="436" spans="1:771 1026:1795 2050:2819 3074:3843 4098:4867 5122:5891 6146:6915 7170:7939 8194:8963 9218:9987 10242:11011 11266:12035 12290:13059 13314:14083 14338:15107 15362:16131" s="59" customFormat="1" ht="31.8" thickBot="1" x14ac:dyDescent="0.35">
      <c r="A436" s="154"/>
      <c r="B436" s="155" t="s">
        <v>26</v>
      </c>
      <c r="C436" s="156"/>
      <c r="D436" s="154"/>
      <c r="E436" s="157"/>
      <c r="F436" s="158"/>
      <c r="G436" s="159">
        <f>SUM(G430:G435)/2</f>
        <v>241550874</v>
      </c>
      <c r="H436" s="160"/>
      <c r="IX436" s="35"/>
      <c r="IY436" s="35"/>
      <c r="ST436" s="35"/>
      <c r="SU436" s="35"/>
      <c r="ACP436" s="35"/>
      <c r="ACQ436" s="35"/>
      <c r="AML436" s="35"/>
      <c r="AMM436" s="35"/>
      <c r="AWH436" s="35"/>
      <c r="AWI436" s="35"/>
      <c r="BGD436" s="35"/>
      <c r="BGE436" s="35"/>
      <c r="BPZ436" s="35"/>
      <c r="BQA436" s="35"/>
      <c r="BZV436" s="35"/>
      <c r="BZW436" s="35"/>
      <c r="CJR436" s="35"/>
      <c r="CJS436" s="35"/>
      <c r="CTN436" s="35"/>
      <c r="CTO436" s="35"/>
      <c r="DDJ436" s="35"/>
      <c r="DDK436" s="35"/>
      <c r="DNF436" s="35"/>
      <c r="DNG436" s="35"/>
      <c r="DXB436" s="35"/>
      <c r="DXC436" s="35"/>
      <c r="EGX436" s="35"/>
      <c r="EGY436" s="35"/>
      <c r="EQT436" s="35"/>
      <c r="EQU436" s="35"/>
      <c r="FAP436" s="35"/>
      <c r="FAQ436" s="35"/>
      <c r="FKL436" s="35"/>
      <c r="FKM436" s="35"/>
      <c r="FUH436" s="35"/>
      <c r="FUI436" s="35"/>
      <c r="GED436" s="35"/>
      <c r="GEE436" s="35"/>
      <c r="GNZ436" s="35"/>
      <c r="GOA436" s="35"/>
      <c r="GXV436" s="35"/>
      <c r="GXW436" s="35"/>
      <c r="HHR436" s="35"/>
      <c r="HHS436" s="35"/>
      <c r="HRN436" s="35"/>
      <c r="HRO436" s="35"/>
      <c r="IBJ436" s="35"/>
      <c r="IBK436" s="35"/>
      <c r="ILF436" s="35"/>
      <c r="ILG436" s="35"/>
      <c r="IVB436" s="35"/>
      <c r="IVC436" s="35"/>
      <c r="JEX436" s="35"/>
      <c r="JEY436" s="35"/>
      <c r="JOT436" s="35"/>
      <c r="JOU436" s="35"/>
      <c r="JYP436" s="35"/>
      <c r="JYQ436" s="35"/>
      <c r="KIL436" s="35"/>
      <c r="KIM436" s="35"/>
      <c r="KSH436" s="35"/>
      <c r="KSI436" s="35"/>
      <c r="LCD436" s="35"/>
      <c r="LCE436" s="35"/>
      <c r="LLZ436" s="35"/>
      <c r="LMA436" s="35"/>
      <c r="LVV436" s="35"/>
      <c r="LVW436" s="35"/>
      <c r="MFR436" s="35"/>
      <c r="MFS436" s="35"/>
      <c r="MPN436" s="35"/>
      <c r="MPO436" s="35"/>
      <c r="MZJ436" s="35"/>
      <c r="MZK436" s="35"/>
      <c r="NJF436" s="35"/>
      <c r="NJG436" s="35"/>
      <c r="NTB436" s="35"/>
      <c r="NTC436" s="35"/>
      <c r="OCX436" s="35"/>
      <c r="OCY436" s="35"/>
      <c r="OMT436" s="35"/>
      <c r="OMU436" s="35"/>
      <c r="OWP436" s="35"/>
      <c r="OWQ436" s="35"/>
      <c r="PGL436" s="35"/>
      <c r="PGM436" s="35"/>
      <c r="PQH436" s="35"/>
      <c r="PQI436" s="35"/>
      <c r="QAD436" s="35"/>
      <c r="QAE436" s="35"/>
      <c r="QJZ436" s="35"/>
      <c r="QKA436" s="35"/>
      <c r="QTV436" s="35"/>
      <c r="QTW436" s="35"/>
      <c r="RDR436" s="35"/>
      <c r="RDS436" s="35"/>
      <c r="RNN436" s="35"/>
      <c r="RNO436" s="35"/>
      <c r="RXJ436" s="35"/>
      <c r="RXK436" s="35"/>
      <c r="SHF436" s="35"/>
      <c r="SHG436" s="35"/>
      <c r="SRB436" s="35"/>
      <c r="SRC436" s="35"/>
      <c r="TAX436" s="35"/>
      <c r="TAY436" s="35"/>
      <c r="TKT436" s="35"/>
      <c r="TKU436" s="35"/>
      <c r="TUP436" s="35"/>
      <c r="TUQ436" s="35"/>
      <c r="UEL436" s="35"/>
      <c r="UEM436" s="35"/>
      <c r="UOH436" s="35"/>
      <c r="UOI436" s="35"/>
      <c r="UYD436" s="35"/>
      <c r="UYE436" s="35"/>
      <c r="VHZ436" s="35"/>
      <c r="VIA436" s="35"/>
      <c r="VRV436" s="35"/>
      <c r="VRW436" s="35"/>
      <c r="WBR436" s="35"/>
      <c r="WBS436" s="35"/>
      <c r="WLN436" s="35"/>
      <c r="WLO436" s="35"/>
      <c r="WVJ436" s="35"/>
      <c r="WVK436" s="35"/>
    </row>
    <row r="437" spans="1:771 1026:1795 2050:2819 3074:3843 4098:4867 5122:5891 6146:6915 7170:7939 8194:8963 9218:9987 10242:11011 11266:12035 12290:13059 13314:14083 14338:15107 15362:16131" s="35" customFormat="1" ht="55.2" x14ac:dyDescent="0.3">
      <c r="A437" s="28">
        <v>34</v>
      </c>
      <c r="B437" s="29" t="s">
        <v>389</v>
      </c>
      <c r="C437" s="30" t="s">
        <v>395</v>
      </c>
      <c r="D437" s="31" t="s">
        <v>13</v>
      </c>
      <c r="E437" s="32">
        <v>8.6999999999999993</v>
      </c>
      <c r="F437" s="33"/>
      <c r="G437" s="33"/>
      <c r="H437" s="34" t="s">
        <v>385</v>
      </c>
    </row>
    <row r="438" spans="1:771 1026:1795 2050:2819 3074:3843 4098:4867 5122:5891 6146:6915 7170:7939 8194:8963 9218:9987 10242:11011 11266:12035 12290:13059 13314:14083 14338:15107 15362:16131" s="35" customFormat="1" ht="31.2" x14ac:dyDescent="0.3">
      <c r="A438" s="36"/>
      <c r="B438" s="37" t="s">
        <v>381</v>
      </c>
      <c r="C438" s="38" t="s">
        <v>14</v>
      </c>
      <c r="D438" s="39"/>
      <c r="E438" s="44"/>
      <c r="F438" s="40"/>
      <c r="G438" s="41">
        <f>SUM(G439)</f>
        <v>169467300</v>
      </c>
      <c r="H438" s="42"/>
    </row>
    <row r="439" spans="1:771 1026:1795 2050:2819 3074:3843 4098:4867 5122:5891 6146:6915 7170:7939 8194:8963 9218:9987 10242:11011 11266:12035 12290:13059 13314:14083 14338:15107 15362:16131" s="35" customFormat="1" ht="18.600000000000001" x14ac:dyDescent="0.3">
      <c r="A439" s="36"/>
      <c r="B439" s="37" t="s">
        <v>382</v>
      </c>
      <c r="C439" s="48" t="s">
        <v>38</v>
      </c>
      <c r="D439" s="39" t="s">
        <v>13</v>
      </c>
      <c r="E439" s="44">
        <v>8.6999999999999993</v>
      </c>
      <c r="F439" s="161">
        <v>19479000</v>
      </c>
      <c r="G439" s="40">
        <f>E439*F439</f>
        <v>169467300</v>
      </c>
      <c r="H439" s="42"/>
    </row>
    <row r="440" spans="1:771 1026:1795 2050:2819 3074:3843 4098:4867 5122:5891 6146:6915 7170:7939 8194:8963 9218:9987 10242:11011 11266:12035 12290:13059 13314:14083 14338:15107 15362:16131" s="35" customFormat="1" ht="62.4" x14ac:dyDescent="0.3">
      <c r="A440" s="36"/>
      <c r="B440" s="46" t="s">
        <v>383</v>
      </c>
      <c r="C440" s="47" t="s">
        <v>35</v>
      </c>
      <c r="D440" s="39"/>
      <c r="E440" s="44"/>
      <c r="F440" s="40"/>
      <c r="G440" s="41">
        <f>SUM(G441:G443)</f>
        <v>5307760</v>
      </c>
      <c r="H440" s="45"/>
    </row>
    <row r="441" spans="1:771 1026:1795 2050:2819 3074:3843 4098:4867 5122:5891 6146:6915 7170:7939 8194:8963 9218:9987 10242:11011 11266:12035 12290:13059 13314:14083 14338:15107 15362:16131" s="35" customFormat="1" ht="46.8" x14ac:dyDescent="0.3">
      <c r="A441" s="36"/>
      <c r="B441" s="50" t="s">
        <v>384</v>
      </c>
      <c r="C441" s="48" t="s">
        <v>386</v>
      </c>
      <c r="D441" s="39" t="s">
        <v>13</v>
      </c>
      <c r="E441" s="44">
        <v>8.61</v>
      </c>
      <c r="F441" s="40">
        <f>540000*40%</f>
        <v>216000</v>
      </c>
      <c r="G441" s="40">
        <f>E441*F441</f>
        <v>1859759.9999999998</v>
      </c>
      <c r="H441" s="42" t="s">
        <v>2397</v>
      </c>
    </row>
    <row r="442" spans="1:771 1026:1795 2050:2819 3074:3843 4098:4867 5122:5891 6146:6915 7170:7939 8194:8963 9218:9987 10242:11011 11266:12035 12290:13059 13314:14083 14338:15107 15362:16131" s="35" customFormat="1" x14ac:dyDescent="0.3">
      <c r="A442" s="36"/>
      <c r="B442" s="46"/>
      <c r="C442" s="48" t="s">
        <v>105</v>
      </c>
      <c r="D442" s="39" t="s">
        <v>106</v>
      </c>
      <c r="E442" s="44">
        <v>1</v>
      </c>
      <c r="F442" s="40"/>
      <c r="G442" s="40">
        <f>E442*F442</f>
        <v>0</v>
      </c>
      <c r="H442" s="52" t="s">
        <v>2353</v>
      </c>
    </row>
    <row r="443" spans="1:771 1026:1795 2050:2819 3074:3843 4098:4867 5122:5891 6146:6915 7170:7939 8194:8963 9218:9987 10242:11011 11266:12035 12290:13059 13314:14083 14338:15107 15362:16131" s="35" customFormat="1" x14ac:dyDescent="0.3">
      <c r="A443" s="36"/>
      <c r="B443" s="46"/>
      <c r="C443" s="48" t="s">
        <v>387</v>
      </c>
      <c r="D443" s="39" t="s">
        <v>106</v>
      </c>
      <c r="E443" s="44">
        <v>1</v>
      </c>
      <c r="F443" s="40">
        <f>2976000+(236000*2)</f>
        <v>3448000</v>
      </c>
      <c r="G443" s="40">
        <f>E443*F443</f>
        <v>3448000</v>
      </c>
      <c r="H443" s="52"/>
    </row>
    <row r="444" spans="1:771 1026:1795 2050:2819 3074:3843 4098:4867 5122:5891 6146:6915 7170:7939 8194:8963 9218:9987 10242:11011 11266:12035 12290:13059 13314:14083 14338:15107 15362:16131" s="35" customFormat="1" ht="65.400000000000006" thickBot="1" x14ac:dyDescent="0.35">
      <c r="A444" s="53"/>
      <c r="B444" s="54"/>
      <c r="C444" s="55" t="s">
        <v>2331</v>
      </c>
      <c r="D444" s="56"/>
      <c r="E444" s="5"/>
      <c r="F444" s="6"/>
      <c r="G444" s="57"/>
      <c r="H444" s="58"/>
    </row>
    <row r="445" spans="1:771 1026:1795 2050:2819 3074:3843 4098:4867 5122:5891 6146:6915 7170:7939 8194:8963 9218:9987 10242:11011 11266:12035 12290:13059 13314:14083 14338:15107 15362:16131" s="59" customFormat="1" ht="31.8" thickBot="1" x14ac:dyDescent="0.35">
      <c r="A445" s="154"/>
      <c r="B445" s="155" t="s">
        <v>26</v>
      </c>
      <c r="C445" s="156"/>
      <c r="D445" s="154"/>
      <c r="E445" s="157"/>
      <c r="F445" s="158"/>
      <c r="G445" s="159">
        <f>SUM(G437:G444)/2</f>
        <v>174775060</v>
      </c>
      <c r="H445" s="160"/>
      <c r="IX445" s="35"/>
      <c r="IY445" s="35"/>
      <c r="ST445" s="35"/>
      <c r="SU445" s="35"/>
      <c r="ACP445" s="35"/>
      <c r="ACQ445" s="35"/>
      <c r="AML445" s="35"/>
      <c r="AMM445" s="35"/>
      <c r="AWH445" s="35"/>
      <c r="AWI445" s="35"/>
      <c r="BGD445" s="35"/>
      <c r="BGE445" s="35"/>
      <c r="BPZ445" s="35"/>
      <c r="BQA445" s="35"/>
      <c r="BZV445" s="35"/>
      <c r="BZW445" s="35"/>
      <c r="CJR445" s="35"/>
      <c r="CJS445" s="35"/>
      <c r="CTN445" s="35"/>
      <c r="CTO445" s="35"/>
      <c r="DDJ445" s="35"/>
      <c r="DDK445" s="35"/>
      <c r="DNF445" s="35"/>
      <c r="DNG445" s="35"/>
      <c r="DXB445" s="35"/>
      <c r="DXC445" s="35"/>
      <c r="EGX445" s="35"/>
      <c r="EGY445" s="35"/>
      <c r="EQT445" s="35"/>
      <c r="EQU445" s="35"/>
      <c r="FAP445" s="35"/>
      <c r="FAQ445" s="35"/>
      <c r="FKL445" s="35"/>
      <c r="FKM445" s="35"/>
      <c r="FUH445" s="35"/>
      <c r="FUI445" s="35"/>
      <c r="GED445" s="35"/>
      <c r="GEE445" s="35"/>
      <c r="GNZ445" s="35"/>
      <c r="GOA445" s="35"/>
      <c r="GXV445" s="35"/>
      <c r="GXW445" s="35"/>
      <c r="HHR445" s="35"/>
      <c r="HHS445" s="35"/>
      <c r="HRN445" s="35"/>
      <c r="HRO445" s="35"/>
      <c r="IBJ445" s="35"/>
      <c r="IBK445" s="35"/>
      <c r="ILF445" s="35"/>
      <c r="ILG445" s="35"/>
      <c r="IVB445" s="35"/>
      <c r="IVC445" s="35"/>
      <c r="JEX445" s="35"/>
      <c r="JEY445" s="35"/>
      <c r="JOT445" s="35"/>
      <c r="JOU445" s="35"/>
      <c r="JYP445" s="35"/>
      <c r="JYQ445" s="35"/>
      <c r="KIL445" s="35"/>
      <c r="KIM445" s="35"/>
      <c r="KSH445" s="35"/>
      <c r="KSI445" s="35"/>
      <c r="LCD445" s="35"/>
      <c r="LCE445" s="35"/>
      <c r="LLZ445" s="35"/>
      <c r="LMA445" s="35"/>
      <c r="LVV445" s="35"/>
      <c r="LVW445" s="35"/>
      <c r="MFR445" s="35"/>
      <c r="MFS445" s="35"/>
      <c r="MPN445" s="35"/>
      <c r="MPO445" s="35"/>
      <c r="MZJ445" s="35"/>
      <c r="MZK445" s="35"/>
      <c r="NJF445" s="35"/>
      <c r="NJG445" s="35"/>
      <c r="NTB445" s="35"/>
      <c r="NTC445" s="35"/>
      <c r="OCX445" s="35"/>
      <c r="OCY445" s="35"/>
      <c r="OMT445" s="35"/>
      <c r="OMU445" s="35"/>
      <c r="OWP445" s="35"/>
      <c r="OWQ445" s="35"/>
      <c r="PGL445" s="35"/>
      <c r="PGM445" s="35"/>
      <c r="PQH445" s="35"/>
      <c r="PQI445" s="35"/>
      <c r="QAD445" s="35"/>
      <c r="QAE445" s="35"/>
      <c r="QJZ445" s="35"/>
      <c r="QKA445" s="35"/>
      <c r="QTV445" s="35"/>
      <c r="QTW445" s="35"/>
      <c r="RDR445" s="35"/>
      <c r="RDS445" s="35"/>
      <c r="RNN445" s="35"/>
      <c r="RNO445" s="35"/>
      <c r="RXJ445" s="35"/>
      <c r="RXK445" s="35"/>
      <c r="SHF445" s="35"/>
      <c r="SHG445" s="35"/>
      <c r="SRB445" s="35"/>
      <c r="SRC445" s="35"/>
      <c r="TAX445" s="35"/>
      <c r="TAY445" s="35"/>
      <c r="TKT445" s="35"/>
      <c r="TKU445" s="35"/>
      <c r="TUP445" s="35"/>
      <c r="TUQ445" s="35"/>
      <c r="UEL445" s="35"/>
      <c r="UEM445" s="35"/>
      <c r="UOH445" s="35"/>
      <c r="UOI445" s="35"/>
      <c r="UYD445" s="35"/>
      <c r="UYE445" s="35"/>
      <c r="VHZ445" s="35"/>
      <c r="VIA445" s="35"/>
      <c r="VRV445" s="35"/>
      <c r="VRW445" s="35"/>
      <c r="WBR445" s="35"/>
      <c r="WBS445" s="35"/>
      <c r="WLN445" s="35"/>
      <c r="WLO445" s="35"/>
      <c r="WVJ445" s="35"/>
      <c r="WVK445" s="35"/>
    </row>
    <row r="446" spans="1:771 1026:1795 2050:2819 3074:3843 4098:4867 5122:5891 6146:6915 7170:7939 8194:8963 9218:9987 10242:11011 11266:12035 12290:13059 13314:14083 14338:15107 15362:16131" s="35" customFormat="1" ht="55.2" x14ac:dyDescent="0.3">
      <c r="A446" s="28">
        <v>35</v>
      </c>
      <c r="B446" s="29" t="s">
        <v>388</v>
      </c>
      <c r="C446" s="30" t="s">
        <v>394</v>
      </c>
      <c r="D446" s="31" t="s">
        <v>13</v>
      </c>
      <c r="E446" s="32">
        <v>10.6</v>
      </c>
      <c r="F446" s="33"/>
      <c r="G446" s="33"/>
      <c r="H446" s="34" t="s">
        <v>396</v>
      </c>
    </row>
    <row r="447" spans="1:771 1026:1795 2050:2819 3074:3843 4098:4867 5122:5891 6146:6915 7170:7939 8194:8963 9218:9987 10242:11011 11266:12035 12290:13059 13314:14083 14338:15107 15362:16131" s="35" customFormat="1" ht="31.2" x14ac:dyDescent="0.3">
      <c r="A447" s="36"/>
      <c r="B447" s="37" t="s">
        <v>390</v>
      </c>
      <c r="C447" s="38" t="s">
        <v>14</v>
      </c>
      <c r="D447" s="39"/>
      <c r="E447" s="44"/>
      <c r="F447" s="40"/>
      <c r="G447" s="41">
        <f>SUM(G448)</f>
        <v>206477400</v>
      </c>
      <c r="H447" s="42"/>
    </row>
    <row r="448" spans="1:771 1026:1795 2050:2819 3074:3843 4098:4867 5122:5891 6146:6915 7170:7939 8194:8963 9218:9987 10242:11011 11266:12035 12290:13059 13314:14083 14338:15107 15362:16131" s="35" customFormat="1" ht="18.600000000000001" x14ac:dyDescent="0.3">
      <c r="A448" s="36"/>
      <c r="B448" s="37" t="s">
        <v>391</v>
      </c>
      <c r="C448" s="48" t="s">
        <v>38</v>
      </c>
      <c r="D448" s="39" t="s">
        <v>13</v>
      </c>
      <c r="E448" s="44">
        <v>10.6</v>
      </c>
      <c r="F448" s="161">
        <v>19479000</v>
      </c>
      <c r="G448" s="40">
        <f>E448*F448</f>
        <v>206477400</v>
      </c>
      <c r="H448" s="42"/>
    </row>
    <row r="449" spans="1:771 1026:1795 2050:2819 3074:3843 4098:4867 5122:5891 6146:6915 7170:7939 8194:8963 9218:9987 10242:11011 11266:12035 12290:13059 13314:14083 14338:15107 15362:16131" s="35" customFormat="1" ht="62.4" x14ac:dyDescent="0.3">
      <c r="A449" s="36"/>
      <c r="B449" s="46" t="s">
        <v>392</v>
      </c>
      <c r="C449" s="47" t="s">
        <v>35</v>
      </c>
      <c r="D449" s="39"/>
      <c r="E449" s="44"/>
      <c r="F449" s="40"/>
      <c r="G449" s="41">
        <f>SUM(G450:G454)</f>
        <v>13047358</v>
      </c>
      <c r="H449" s="45"/>
    </row>
    <row r="450" spans="1:771 1026:1795 2050:2819 3074:3843 4098:4867 5122:5891 6146:6915 7170:7939 8194:8963 9218:9987 10242:11011 11266:12035 12290:13059 13314:14083 14338:15107 15362:16131" s="35" customFormat="1" ht="46.8" x14ac:dyDescent="0.3">
      <c r="A450" s="36"/>
      <c r="B450" s="50" t="s">
        <v>393</v>
      </c>
      <c r="C450" s="48" t="s">
        <v>397</v>
      </c>
      <c r="D450" s="39" t="s">
        <v>234</v>
      </c>
      <c r="E450" s="44">
        <v>10.875999999999999</v>
      </c>
      <c r="F450" s="40">
        <v>540000</v>
      </c>
      <c r="G450" s="40">
        <f>E450*F450</f>
        <v>5873040</v>
      </c>
      <c r="H450" s="42" t="s">
        <v>2606</v>
      </c>
    </row>
    <row r="451" spans="1:771 1026:1795 2050:2819 3074:3843 4098:4867 5122:5891 6146:6915 7170:7939 8194:8963 9218:9987 10242:11011 11266:12035 12290:13059 13314:14083 14338:15107 15362:16131" s="35" customFormat="1" x14ac:dyDescent="0.3">
      <c r="A451" s="36"/>
      <c r="B451" s="46"/>
      <c r="C451" s="48" t="s">
        <v>18</v>
      </c>
      <c r="D451" s="39" t="s">
        <v>234</v>
      </c>
      <c r="E451" s="44">
        <v>1.25</v>
      </c>
      <c r="F451" s="40">
        <v>41000</v>
      </c>
      <c r="G451" s="40">
        <f>E451*F451</f>
        <v>51250</v>
      </c>
      <c r="H451" s="52"/>
    </row>
    <row r="452" spans="1:771 1026:1795 2050:2819 3074:3843 4098:4867 5122:5891 6146:6915 7170:7939 8194:8963 9218:9987 10242:11011 11266:12035 12290:13059 13314:14083 14338:15107 15362:16131" s="35" customFormat="1" x14ac:dyDescent="0.3">
      <c r="A452" s="36"/>
      <c r="B452" s="46"/>
      <c r="C452" s="48" t="s">
        <v>259</v>
      </c>
      <c r="D452" s="39" t="s">
        <v>231</v>
      </c>
      <c r="E452" s="44">
        <v>0.39600000000000002</v>
      </c>
      <c r="F452" s="40">
        <v>1533000</v>
      </c>
      <c r="G452" s="40">
        <f>E452*F452</f>
        <v>607068</v>
      </c>
      <c r="H452" s="52"/>
    </row>
    <row r="453" spans="1:771 1026:1795 2050:2819 3074:3843 4098:4867 5122:5891 6146:6915 7170:7939 8194:8963 9218:9987 10242:11011 11266:12035 12290:13059 13314:14083 14338:15107 15362:16131" s="35" customFormat="1" x14ac:dyDescent="0.3">
      <c r="A453" s="36"/>
      <c r="B453" s="46"/>
      <c r="C453" s="48" t="s">
        <v>105</v>
      </c>
      <c r="D453" s="39" t="s">
        <v>106</v>
      </c>
      <c r="E453" s="44">
        <v>1</v>
      </c>
      <c r="F453" s="40"/>
      <c r="G453" s="40">
        <f>E453*F453</f>
        <v>0</v>
      </c>
      <c r="H453" s="52" t="s">
        <v>2353</v>
      </c>
    </row>
    <row r="454" spans="1:771 1026:1795 2050:2819 3074:3843 4098:4867 5122:5891 6146:6915 7170:7939 8194:8963 9218:9987 10242:11011 11266:12035 12290:13059 13314:14083 14338:15107 15362:16131" s="35" customFormat="1" x14ac:dyDescent="0.3">
      <c r="A454" s="36"/>
      <c r="B454" s="46"/>
      <c r="C454" s="48" t="s">
        <v>398</v>
      </c>
      <c r="D454" s="39" t="s">
        <v>106</v>
      </c>
      <c r="E454" s="44">
        <v>1</v>
      </c>
      <c r="F454" s="40">
        <f>2976000+(236000*15)</f>
        <v>6516000</v>
      </c>
      <c r="G454" s="40">
        <f>E454*F454</f>
        <v>6516000</v>
      </c>
      <c r="H454" s="52"/>
    </row>
    <row r="455" spans="1:771 1026:1795 2050:2819 3074:3843 4098:4867 5122:5891 6146:6915 7170:7939 8194:8963 9218:9987 10242:11011 11266:12035 12290:13059 13314:14083 14338:15107 15362:16131" s="35" customFormat="1" ht="65.400000000000006" thickBot="1" x14ac:dyDescent="0.35">
      <c r="A455" s="53"/>
      <c r="B455" s="54"/>
      <c r="C455" s="55" t="s">
        <v>2331</v>
      </c>
      <c r="D455" s="56"/>
      <c r="E455" s="5"/>
      <c r="F455" s="6"/>
      <c r="G455" s="57"/>
      <c r="H455" s="58"/>
    </row>
    <row r="456" spans="1:771 1026:1795 2050:2819 3074:3843 4098:4867 5122:5891 6146:6915 7170:7939 8194:8963 9218:9987 10242:11011 11266:12035 12290:13059 13314:14083 14338:15107 15362:16131" s="59" customFormat="1" ht="31.8" thickBot="1" x14ac:dyDescent="0.35">
      <c r="A456" s="154"/>
      <c r="B456" s="155" t="s">
        <v>26</v>
      </c>
      <c r="C456" s="156"/>
      <c r="D456" s="154"/>
      <c r="E456" s="157"/>
      <c r="F456" s="158"/>
      <c r="G456" s="159">
        <f>SUM(G446:G455)/2</f>
        <v>219524758</v>
      </c>
      <c r="H456" s="160"/>
      <c r="IX456" s="35"/>
      <c r="IY456" s="35"/>
      <c r="ST456" s="35"/>
      <c r="SU456" s="35"/>
      <c r="ACP456" s="35"/>
      <c r="ACQ456" s="35"/>
      <c r="AML456" s="35"/>
      <c r="AMM456" s="35"/>
      <c r="AWH456" s="35"/>
      <c r="AWI456" s="35"/>
      <c r="BGD456" s="35"/>
      <c r="BGE456" s="35"/>
      <c r="BPZ456" s="35"/>
      <c r="BQA456" s="35"/>
      <c r="BZV456" s="35"/>
      <c r="BZW456" s="35"/>
      <c r="CJR456" s="35"/>
      <c r="CJS456" s="35"/>
      <c r="CTN456" s="35"/>
      <c r="CTO456" s="35"/>
      <c r="DDJ456" s="35"/>
      <c r="DDK456" s="35"/>
      <c r="DNF456" s="35"/>
      <c r="DNG456" s="35"/>
      <c r="DXB456" s="35"/>
      <c r="DXC456" s="35"/>
      <c r="EGX456" s="35"/>
      <c r="EGY456" s="35"/>
      <c r="EQT456" s="35"/>
      <c r="EQU456" s="35"/>
      <c r="FAP456" s="35"/>
      <c r="FAQ456" s="35"/>
      <c r="FKL456" s="35"/>
      <c r="FKM456" s="35"/>
      <c r="FUH456" s="35"/>
      <c r="FUI456" s="35"/>
      <c r="GED456" s="35"/>
      <c r="GEE456" s="35"/>
      <c r="GNZ456" s="35"/>
      <c r="GOA456" s="35"/>
      <c r="GXV456" s="35"/>
      <c r="GXW456" s="35"/>
      <c r="HHR456" s="35"/>
      <c r="HHS456" s="35"/>
      <c r="HRN456" s="35"/>
      <c r="HRO456" s="35"/>
      <c r="IBJ456" s="35"/>
      <c r="IBK456" s="35"/>
      <c r="ILF456" s="35"/>
      <c r="ILG456" s="35"/>
      <c r="IVB456" s="35"/>
      <c r="IVC456" s="35"/>
      <c r="JEX456" s="35"/>
      <c r="JEY456" s="35"/>
      <c r="JOT456" s="35"/>
      <c r="JOU456" s="35"/>
      <c r="JYP456" s="35"/>
      <c r="JYQ456" s="35"/>
      <c r="KIL456" s="35"/>
      <c r="KIM456" s="35"/>
      <c r="KSH456" s="35"/>
      <c r="KSI456" s="35"/>
      <c r="LCD456" s="35"/>
      <c r="LCE456" s="35"/>
      <c r="LLZ456" s="35"/>
      <c r="LMA456" s="35"/>
      <c r="LVV456" s="35"/>
      <c r="LVW456" s="35"/>
      <c r="MFR456" s="35"/>
      <c r="MFS456" s="35"/>
      <c r="MPN456" s="35"/>
      <c r="MPO456" s="35"/>
      <c r="MZJ456" s="35"/>
      <c r="MZK456" s="35"/>
      <c r="NJF456" s="35"/>
      <c r="NJG456" s="35"/>
      <c r="NTB456" s="35"/>
      <c r="NTC456" s="35"/>
      <c r="OCX456" s="35"/>
      <c r="OCY456" s="35"/>
      <c r="OMT456" s="35"/>
      <c r="OMU456" s="35"/>
      <c r="OWP456" s="35"/>
      <c r="OWQ456" s="35"/>
      <c r="PGL456" s="35"/>
      <c r="PGM456" s="35"/>
      <c r="PQH456" s="35"/>
      <c r="PQI456" s="35"/>
      <c r="QAD456" s="35"/>
      <c r="QAE456" s="35"/>
      <c r="QJZ456" s="35"/>
      <c r="QKA456" s="35"/>
      <c r="QTV456" s="35"/>
      <c r="QTW456" s="35"/>
      <c r="RDR456" s="35"/>
      <c r="RDS456" s="35"/>
      <c r="RNN456" s="35"/>
      <c r="RNO456" s="35"/>
      <c r="RXJ456" s="35"/>
      <c r="RXK456" s="35"/>
      <c r="SHF456" s="35"/>
      <c r="SHG456" s="35"/>
      <c r="SRB456" s="35"/>
      <c r="SRC456" s="35"/>
      <c r="TAX456" s="35"/>
      <c r="TAY456" s="35"/>
      <c r="TKT456" s="35"/>
      <c r="TKU456" s="35"/>
      <c r="TUP456" s="35"/>
      <c r="TUQ456" s="35"/>
      <c r="UEL456" s="35"/>
      <c r="UEM456" s="35"/>
      <c r="UOH456" s="35"/>
      <c r="UOI456" s="35"/>
      <c r="UYD456" s="35"/>
      <c r="UYE456" s="35"/>
      <c r="VHZ456" s="35"/>
      <c r="VIA456" s="35"/>
      <c r="VRV456" s="35"/>
      <c r="VRW456" s="35"/>
      <c r="WBR456" s="35"/>
      <c r="WBS456" s="35"/>
      <c r="WLN456" s="35"/>
      <c r="WLO456" s="35"/>
      <c r="WVJ456" s="35"/>
      <c r="WVK456" s="35"/>
    </row>
    <row r="457" spans="1:771 1026:1795 2050:2819 3074:3843 4098:4867 5122:5891 6146:6915 7170:7939 8194:8963 9218:9987 10242:11011 11266:12035 12290:13059 13314:14083 14338:15107 15362:16131" s="35" customFormat="1" ht="55.2" x14ac:dyDescent="0.3">
      <c r="A457" s="28">
        <v>36</v>
      </c>
      <c r="B457" s="29" t="s">
        <v>399</v>
      </c>
      <c r="C457" s="30" t="s">
        <v>402</v>
      </c>
      <c r="D457" s="31" t="s">
        <v>13</v>
      </c>
      <c r="E457" s="32">
        <v>11</v>
      </c>
      <c r="F457" s="33"/>
      <c r="G457" s="33"/>
      <c r="H457" s="34" t="s">
        <v>2173</v>
      </c>
    </row>
    <row r="458" spans="1:771 1026:1795 2050:2819 3074:3843 4098:4867 5122:5891 6146:6915 7170:7939 8194:8963 9218:9987 10242:11011 11266:12035 12290:13059 13314:14083 14338:15107 15362:16131" s="35" customFormat="1" x14ac:dyDescent="0.3">
      <c r="A458" s="36"/>
      <c r="B458" s="72" t="s">
        <v>410</v>
      </c>
      <c r="C458" s="38" t="s">
        <v>14</v>
      </c>
      <c r="D458" s="39"/>
      <c r="E458" s="44"/>
      <c r="F458" s="40"/>
      <c r="G458" s="41">
        <f>SUM(G459)</f>
        <v>114444000</v>
      </c>
      <c r="H458" s="42"/>
    </row>
    <row r="459" spans="1:771 1026:1795 2050:2819 3074:3843 4098:4867 5122:5891 6146:6915 7170:7939 8194:8963 9218:9987 10242:11011 11266:12035 12290:13059 13314:14083 14338:15107 15362:16131" s="35" customFormat="1" ht="62.4" x14ac:dyDescent="0.3">
      <c r="A459" s="36"/>
      <c r="B459" s="72" t="s">
        <v>400</v>
      </c>
      <c r="C459" s="43" t="s">
        <v>55</v>
      </c>
      <c r="D459" s="39" t="s">
        <v>13</v>
      </c>
      <c r="E459" s="44">
        <v>11</v>
      </c>
      <c r="F459" s="153">
        <v>10404000</v>
      </c>
      <c r="G459" s="40">
        <f>E459*F459</f>
        <v>114444000</v>
      </c>
      <c r="H459" s="42"/>
    </row>
    <row r="460" spans="1:771 1026:1795 2050:2819 3074:3843 4098:4867 5122:5891 6146:6915 7170:7939 8194:8963 9218:9987 10242:11011 11266:12035 12290:13059 13314:14083 14338:15107 15362:16131" s="35" customFormat="1" x14ac:dyDescent="0.3">
      <c r="A460" s="36"/>
      <c r="B460" s="72" t="s">
        <v>401</v>
      </c>
      <c r="C460" s="47" t="s">
        <v>35</v>
      </c>
      <c r="D460" s="39"/>
      <c r="E460" s="44"/>
      <c r="F460" s="40"/>
      <c r="G460" s="41">
        <f>SUM(G461)</f>
        <v>122640</v>
      </c>
      <c r="H460" s="45"/>
    </row>
    <row r="461" spans="1:771 1026:1795 2050:2819 3074:3843 4098:4867 5122:5891 6146:6915 7170:7939 8194:8963 9218:9987 10242:11011 11266:12035 12290:13059 13314:14083 14338:15107 15362:16131" s="35" customFormat="1" x14ac:dyDescent="0.3">
      <c r="A461" s="36"/>
      <c r="B461" s="46"/>
      <c r="C461" s="48" t="s">
        <v>259</v>
      </c>
      <c r="D461" s="39" t="s">
        <v>231</v>
      </c>
      <c r="E461" s="44">
        <v>0.08</v>
      </c>
      <c r="F461" s="40">
        <v>1533000</v>
      </c>
      <c r="G461" s="40">
        <f>E461*F461</f>
        <v>122640</v>
      </c>
      <c r="H461" s="52"/>
    </row>
    <row r="462" spans="1:771 1026:1795 2050:2819 3074:3843 4098:4867 5122:5891 6146:6915 7170:7939 8194:8963 9218:9987 10242:11011 11266:12035 12290:13059 13314:14083 14338:15107 15362:16131" s="35" customFormat="1" x14ac:dyDescent="0.3">
      <c r="A462" s="36"/>
      <c r="B462" s="46"/>
      <c r="C462" s="51" t="s">
        <v>23</v>
      </c>
      <c r="D462" s="39"/>
      <c r="E462" s="1"/>
      <c r="F462" s="2"/>
      <c r="G462" s="41">
        <f>SUM(G463)</f>
        <v>3060000</v>
      </c>
      <c r="H462" s="52"/>
    </row>
    <row r="463" spans="1:771 1026:1795 2050:2819 3074:3843 4098:4867 5122:5891 6146:6915 7170:7939 8194:8963 9218:9987 10242:11011 11266:12035 12290:13059 13314:14083 14338:15107 15362:16131" s="35" customFormat="1" x14ac:dyDescent="0.3">
      <c r="A463" s="36"/>
      <c r="B463" s="46"/>
      <c r="C463" s="50" t="s">
        <v>24</v>
      </c>
      <c r="D463" s="39" t="s">
        <v>25</v>
      </c>
      <c r="E463" s="1">
        <f>1*30*6</f>
        <v>180</v>
      </c>
      <c r="F463" s="2">
        <v>17000</v>
      </c>
      <c r="G463" s="40">
        <f>E463*F463</f>
        <v>3060000</v>
      </c>
      <c r="H463" s="42"/>
    </row>
    <row r="464" spans="1:771 1026:1795 2050:2819 3074:3843 4098:4867 5122:5891 6146:6915 7170:7939 8194:8963 9218:9987 10242:11011 11266:12035 12290:13059 13314:14083 14338:15107 15362:16131" s="35" customFormat="1" ht="65.400000000000006" thickBot="1" x14ac:dyDescent="0.35">
      <c r="A464" s="53"/>
      <c r="B464" s="54"/>
      <c r="C464" s="55" t="s">
        <v>2331</v>
      </c>
      <c r="D464" s="56"/>
      <c r="E464" s="5"/>
      <c r="F464" s="6"/>
      <c r="G464" s="57"/>
      <c r="H464" s="58"/>
    </row>
    <row r="465" spans="1:771 1026:1795 2050:2819 3074:3843 4098:4867 5122:5891 6146:6915 7170:7939 8194:8963 9218:9987 10242:11011 11266:12035 12290:13059 13314:14083 14338:15107 15362:16131" s="59" customFormat="1" ht="31.8" thickBot="1" x14ac:dyDescent="0.35">
      <c r="A465" s="154"/>
      <c r="B465" s="155" t="s">
        <v>26</v>
      </c>
      <c r="C465" s="156"/>
      <c r="D465" s="154"/>
      <c r="E465" s="157"/>
      <c r="F465" s="158"/>
      <c r="G465" s="159">
        <f>SUM(G457:G464)/2</f>
        <v>117626640</v>
      </c>
      <c r="H465" s="160"/>
      <c r="IX465" s="35"/>
      <c r="IY465" s="35"/>
      <c r="ST465" s="35"/>
      <c r="SU465" s="35"/>
      <c r="ACP465" s="35"/>
      <c r="ACQ465" s="35"/>
      <c r="AML465" s="35"/>
      <c r="AMM465" s="35"/>
      <c r="AWH465" s="35"/>
      <c r="AWI465" s="35"/>
      <c r="BGD465" s="35"/>
      <c r="BGE465" s="35"/>
      <c r="BPZ465" s="35"/>
      <c r="BQA465" s="35"/>
      <c r="BZV465" s="35"/>
      <c r="BZW465" s="35"/>
      <c r="CJR465" s="35"/>
      <c r="CJS465" s="35"/>
      <c r="CTN465" s="35"/>
      <c r="CTO465" s="35"/>
      <c r="DDJ465" s="35"/>
      <c r="DDK465" s="35"/>
      <c r="DNF465" s="35"/>
      <c r="DNG465" s="35"/>
      <c r="DXB465" s="35"/>
      <c r="DXC465" s="35"/>
      <c r="EGX465" s="35"/>
      <c r="EGY465" s="35"/>
      <c r="EQT465" s="35"/>
      <c r="EQU465" s="35"/>
      <c r="FAP465" s="35"/>
      <c r="FAQ465" s="35"/>
      <c r="FKL465" s="35"/>
      <c r="FKM465" s="35"/>
      <c r="FUH465" s="35"/>
      <c r="FUI465" s="35"/>
      <c r="GED465" s="35"/>
      <c r="GEE465" s="35"/>
      <c r="GNZ465" s="35"/>
      <c r="GOA465" s="35"/>
      <c r="GXV465" s="35"/>
      <c r="GXW465" s="35"/>
      <c r="HHR465" s="35"/>
      <c r="HHS465" s="35"/>
      <c r="HRN465" s="35"/>
      <c r="HRO465" s="35"/>
      <c r="IBJ465" s="35"/>
      <c r="IBK465" s="35"/>
      <c r="ILF465" s="35"/>
      <c r="ILG465" s="35"/>
      <c r="IVB465" s="35"/>
      <c r="IVC465" s="35"/>
      <c r="JEX465" s="35"/>
      <c r="JEY465" s="35"/>
      <c r="JOT465" s="35"/>
      <c r="JOU465" s="35"/>
      <c r="JYP465" s="35"/>
      <c r="JYQ465" s="35"/>
      <c r="KIL465" s="35"/>
      <c r="KIM465" s="35"/>
      <c r="KSH465" s="35"/>
      <c r="KSI465" s="35"/>
      <c r="LCD465" s="35"/>
      <c r="LCE465" s="35"/>
      <c r="LLZ465" s="35"/>
      <c r="LMA465" s="35"/>
      <c r="LVV465" s="35"/>
      <c r="LVW465" s="35"/>
      <c r="MFR465" s="35"/>
      <c r="MFS465" s="35"/>
      <c r="MPN465" s="35"/>
      <c r="MPO465" s="35"/>
      <c r="MZJ465" s="35"/>
      <c r="MZK465" s="35"/>
      <c r="NJF465" s="35"/>
      <c r="NJG465" s="35"/>
      <c r="NTB465" s="35"/>
      <c r="NTC465" s="35"/>
      <c r="OCX465" s="35"/>
      <c r="OCY465" s="35"/>
      <c r="OMT465" s="35"/>
      <c r="OMU465" s="35"/>
      <c r="OWP465" s="35"/>
      <c r="OWQ465" s="35"/>
      <c r="PGL465" s="35"/>
      <c r="PGM465" s="35"/>
      <c r="PQH465" s="35"/>
      <c r="PQI465" s="35"/>
      <c r="QAD465" s="35"/>
      <c r="QAE465" s="35"/>
      <c r="QJZ465" s="35"/>
      <c r="QKA465" s="35"/>
      <c r="QTV465" s="35"/>
      <c r="QTW465" s="35"/>
      <c r="RDR465" s="35"/>
      <c r="RDS465" s="35"/>
      <c r="RNN465" s="35"/>
      <c r="RNO465" s="35"/>
      <c r="RXJ465" s="35"/>
      <c r="RXK465" s="35"/>
      <c r="SHF465" s="35"/>
      <c r="SHG465" s="35"/>
      <c r="SRB465" s="35"/>
      <c r="SRC465" s="35"/>
      <c r="TAX465" s="35"/>
      <c r="TAY465" s="35"/>
      <c r="TKT465" s="35"/>
      <c r="TKU465" s="35"/>
      <c r="TUP465" s="35"/>
      <c r="TUQ465" s="35"/>
      <c r="UEL465" s="35"/>
      <c r="UEM465" s="35"/>
      <c r="UOH465" s="35"/>
      <c r="UOI465" s="35"/>
      <c r="UYD465" s="35"/>
      <c r="UYE465" s="35"/>
      <c r="VHZ465" s="35"/>
      <c r="VIA465" s="35"/>
      <c r="VRV465" s="35"/>
      <c r="VRW465" s="35"/>
      <c r="WBR465" s="35"/>
      <c r="WBS465" s="35"/>
      <c r="WLN465" s="35"/>
      <c r="WLO465" s="35"/>
      <c r="WVJ465" s="35"/>
      <c r="WVK465" s="35"/>
    </row>
    <row r="466" spans="1:771 1026:1795 2050:2819 3074:3843 4098:4867 5122:5891 6146:6915 7170:7939 8194:8963 9218:9987 10242:11011 11266:12035 12290:13059 13314:14083 14338:15107 15362:16131" s="35" customFormat="1" ht="55.2" x14ac:dyDescent="0.3">
      <c r="A466" s="28">
        <v>37</v>
      </c>
      <c r="B466" s="29" t="s">
        <v>408</v>
      </c>
      <c r="C466" s="30" t="s">
        <v>406</v>
      </c>
      <c r="D466" s="31" t="s">
        <v>13</v>
      </c>
      <c r="E466" s="32">
        <v>16</v>
      </c>
      <c r="F466" s="33"/>
      <c r="G466" s="33"/>
      <c r="H466" s="34" t="s">
        <v>407</v>
      </c>
    </row>
    <row r="467" spans="1:771 1026:1795 2050:2819 3074:3843 4098:4867 5122:5891 6146:6915 7170:7939 8194:8963 9218:9987 10242:11011 11266:12035 12290:13059 13314:14083 14338:15107 15362:16131" s="35" customFormat="1" x14ac:dyDescent="0.3">
      <c r="A467" s="36"/>
      <c r="B467" s="72" t="s">
        <v>403</v>
      </c>
      <c r="C467" s="38" t="s">
        <v>14</v>
      </c>
      <c r="D467" s="39"/>
      <c r="E467" s="44"/>
      <c r="F467" s="40"/>
      <c r="G467" s="41">
        <f>SUM(G468)</f>
        <v>311664000</v>
      </c>
      <c r="H467" s="42"/>
    </row>
    <row r="468" spans="1:771 1026:1795 2050:2819 3074:3843 4098:4867 5122:5891 6146:6915 7170:7939 8194:8963 9218:9987 10242:11011 11266:12035 12290:13059 13314:14083 14338:15107 15362:16131" s="35" customFormat="1" ht="78" x14ac:dyDescent="0.3">
      <c r="A468" s="36"/>
      <c r="B468" s="72" t="s">
        <v>404</v>
      </c>
      <c r="C468" s="48" t="s">
        <v>38</v>
      </c>
      <c r="D468" s="39" t="s">
        <v>13</v>
      </c>
      <c r="E468" s="44">
        <v>16</v>
      </c>
      <c r="F468" s="161">
        <v>19479000</v>
      </c>
      <c r="G468" s="40">
        <f>E468*F468</f>
        <v>311664000</v>
      </c>
      <c r="H468" s="42"/>
    </row>
    <row r="469" spans="1:771 1026:1795 2050:2819 3074:3843 4098:4867 5122:5891 6146:6915 7170:7939 8194:8963 9218:9987 10242:11011 11266:12035 12290:13059 13314:14083 14338:15107 15362:16131" s="35" customFormat="1" x14ac:dyDescent="0.3">
      <c r="A469" s="36"/>
      <c r="B469" s="72" t="s">
        <v>405</v>
      </c>
      <c r="C469" s="47" t="s">
        <v>35</v>
      </c>
      <c r="D469" s="39"/>
      <c r="E469" s="44"/>
      <c r="F469" s="40"/>
      <c r="G469" s="41">
        <f>SUM(G470)</f>
        <v>3974399.9999999995</v>
      </c>
      <c r="H469" s="45"/>
    </row>
    <row r="470" spans="1:771 1026:1795 2050:2819 3074:3843 4098:4867 5122:5891 6146:6915 7170:7939 8194:8963 9218:9987 10242:11011 11266:12035 12290:13059 13314:14083 14338:15107 15362:16131" s="35" customFormat="1" ht="46.8" x14ac:dyDescent="0.3">
      <c r="A470" s="36"/>
      <c r="B470" s="46"/>
      <c r="C470" s="48" t="s">
        <v>409</v>
      </c>
      <c r="D470" s="39"/>
      <c r="E470" s="44">
        <f>8*2.3</f>
        <v>18.399999999999999</v>
      </c>
      <c r="F470" s="40">
        <f>540000*40%</f>
        <v>216000</v>
      </c>
      <c r="G470" s="40">
        <f>E470*F470</f>
        <v>3974399.9999999995</v>
      </c>
      <c r="H470" s="20" t="s">
        <v>2374</v>
      </c>
    </row>
    <row r="471" spans="1:771 1026:1795 2050:2819 3074:3843 4098:4867 5122:5891 6146:6915 7170:7939 8194:8963 9218:9987 10242:11011 11266:12035 12290:13059 13314:14083 14338:15107 15362:16131" s="35" customFormat="1" ht="65.400000000000006" thickBot="1" x14ac:dyDescent="0.35">
      <c r="A471" s="53"/>
      <c r="B471" s="54"/>
      <c r="C471" s="55" t="s">
        <v>2331</v>
      </c>
      <c r="D471" s="56"/>
      <c r="E471" s="5"/>
      <c r="F471" s="6"/>
      <c r="G471" s="57"/>
      <c r="H471" s="58"/>
    </row>
    <row r="472" spans="1:771 1026:1795 2050:2819 3074:3843 4098:4867 5122:5891 6146:6915 7170:7939 8194:8963 9218:9987 10242:11011 11266:12035 12290:13059 13314:14083 14338:15107 15362:16131" s="59" customFormat="1" ht="31.8" thickBot="1" x14ac:dyDescent="0.35">
      <c r="A472" s="154"/>
      <c r="B472" s="155" t="s">
        <v>26</v>
      </c>
      <c r="C472" s="156"/>
      <c r="D472" s="154"/>
      <c r="E472" s="157"/>
      <c r="F472" s="158"/>
      <c r="G472" s="159">
        <f>SUM(G466:G471)/2</f>
        <v>315638400</v>
      </c>
      <c r="H472" s="160"/>
      <c r="IX472" s="35"/>
      <c r="IY472" s="35"/>
      <c r="ST472" s="35"/>
      <c r="SU472" s="35"/>
      <c r="ACP472" s="35"/>
      <c r="ACQ472" s="35"/>
      <c r="AML472" s="35"/>
      <c r="AMM472" s="35"/>
      <c r="AWH472" s="35"/>
      <c r="AWI472" s="35"/>
      <c r="BGD472" s="35"/>
      <c r="BGE472" s="35"/>
      <c r="BPZ472" s="35"/>
      <c r="BQA472" s="35"/>
      <c r="BZV472" s="35"/>
      <c r="BZW472" s="35"/>
      <c r="CJR472" s="35"/>
      <c r="CJS472" s="35"/>
      <c r="CTN472" s="35"/>
      <c r="CTO472" s="35"/>
      <c r="DDJ472" s="35"/>
      <c r="DDK472" s="35"/>
      <c r="DNF472" s="35"/>
      <c r="DNG472" s="35"/>
      <c r="DXB472" s="35"/>
      <c r="DXC472" s="35"/>
      <c r="EGX472" s="35"/>
      <c r="EGY472" s="35"/>
      <c r="EQT472" s="35"/>
      <c r="EQU472" s="35"/>
      <c r="FAP472" s="35"/>
      <c r="FAQ472" s="35"/>
      <c r="FKL472" s="35"/>
      <c r="FKM472" s="35"/>
      <c r="FUH472" s="35"/>
      <c r="FUI472" s="35"/>
      <c r="GED472" s="35"/>
      <c r="GEE472" s="35"/>
      <c r="GNZ472" s="35"/>
      <c r="GOA472" s="35"/>
      <c r="GXV472" s="35"/>
      <c r="GXW472" s="35"/>
      <c r="HHR472" s="35"/>
      <c r="HHS472" s="35"/>
      <c r="HRN472" s="35"/>
      <c r="HRO472" s="35"/>
      <c r="IBJ472" s="35"/>
      <c r="IBK472" s="35"/>
      <c r="ILF472" s="35"/>
      <c r="ILG472" s="35"/>
      <c r="IVB472" s="35"/>
      <c r="IVC472" s="35"/>
      <c r="JEX472" s="35"/>
      <c r="JEY472" s="35"/>
      <c r="JOT472" s="35"/>
      <c r="JOU472" s="35"/>
      <c r="JYP472" s="35"/>
      <c r="JYQ472" s="35"/>
      <c r="KIL472" s="35"/>
      <c r="KIM472" s="35"/>
      <c r="KSH472" s="35"/>
      <c r="KSI472" s="35"/>
      <c r="LCD472" s="35"/>
      <c r="LCE472" s="35"/>
      <c r="LLZ472" s="35"/>
      <c r="LMA472" s="35"/>
      <c r="LVV472" s="35"/>
      <c r="LVW472" s="35"/>
      <c r="MFR472" s="35"/>
      <c r="MFS472" s="35"/>
      <c r="MPN472" s="35"/>
      <c r="MPO472" s="35"/>
      <c r="MZJ472" s="35"/>
      <c r="MZK472" s="35"/>
      <c r="NJF472" s="35"/>
      <c r="NJG472" s="35"/>
      <c r="NTB472" s="35"/>
      <c r="NTC472" s="35"/>
      <c r="OCX472" s="35"/>
      <c r="OCY472" s="35"/>
      <c r="OMT472" s="35"/>
      <c r="OMU472" s="35"/>
      <c r="OWP472" s="35"/>
      <c r="OWQ472" s="35"/>
      <c r="PGL472" s="35"/>
      <c r="PGM472" s="35"/>
      <c r="PQH472" s="35"/>
      <c r="PQI472" s="35"/>
      <c r="QAD472" s="35"/>
      <c r="QAE472" s="35"/>
      <c r="QJZ472" s="35"/>
      <c r="QKA472" s="35"/>
      <c r="QTV472" s="35"/>
      <c r="QTW472" s="35"/>
      <c r="RDR472" s="35"/>
      <c r="RDS472" s="35"/>
      <c r="RNN472" s="35"/>
      <c r="RNO472" s="35"/>
      <c r="RXJ472" s="35"/>
      <c r="RXK472" s="35"/>
      <c r="SHF472" s="35"/>
      <c r="SHG472" s="35"/>
      <c r="SRB472" s="35"/>
      <c r="SRC472" s="35"/>
      <c r="TAX472" s="35"/>
      <c r="TAY472" s="35"/>
      <c r="TKT472" s="35"/>
      <c r="TKU472" s="35"/>
      <c r="TUP472" s="35"/>
      <c r="TUQ472" s="35"/>
      <c r="UEL472" s="35"/>
      <c r="UEM472" s="35"/>
      <c r="UOH472" s="35"/>
      <c r="UOI472" s="35"/>
      <c r="UYD472" s="35"/>
      <c r="UYE472" s="35"/>
      <c r="VHZ472" s="35"/>
      <c r="VIA472" s="35"/>
      <c r="VRV472" s="35"/>
      <c r="VRW472" s="35"/>
      <c r="WBR472" s="35"/>
      <c r="WBS472" s="35"/>
      <c r="WLN472" s="35"/>
      <c r="WLO472" s="35"/>
      <c r="WVJ472" s="35"/>
      <c r="WVK472" s="35"/>
    </row>
    <row r="473" spans="1:771 1026:1795 2050:2819 3074:3843 4098:4867 5122:5891 6146:6915 7170:7939 8194:8963 9218:9987 10242:11011 11266:12035 12290:13059 13314:14083 14338:15107 15362:16131" s="35" customFormat="1" ht="55.2" x14ac:dyDescent="0.3">
      <c r="A473" s="28">
        <v>38</v>
      </c>
      <c r="B473" s="29" t="s">
        <v>411</v>
      </c>
      <c r="C473" s="30" t="s">
        <v>2136</v>
      </c>
      <c r="D473" s="31" t="s">
        <v>13</v>
      </c>
      <c r="E473" s="32">
        <f>12+11.7</f>
        <v>23.7</v>
      </c>
      <c r="F473" s="33"/>
      <c r="G473" s="33"/>
      <c r="H473" s="34" t="s">
        <v>2138</v>
      </c>
    </row>
    <row r="474" spans="1:771 1026:1795 2050:2819 3074:3843 4098:4867 5122:5891 6146:6915 7170:7939 8194:8963 9218:9987 10242:11011 11266:12035 12290:13059 13314:14083 14338:15107 15362:16131" s="35" customFormat="1" ht="55.2" x14ac:dyDescent="0.3">
      <c r="A474" s="36"/>
      <c r="B474" s="72" t="s">
        <v>1029</v>
      </c>
      <c r="C474" s="48" t="s">
        <v>2137</v>
      </c>
      <c r="D474" s="39" t="s">
        <v>13</v>
      </c>
      <c r="E474" s="44">
        <v>40.200000000000003</v>
      </c>
      <c r="F474" s="40"/>
      <c r="G474" s="40"/>
      <c r="H474" s="42" t="s">
        <v>2139</v>
      </c>
    </row>
    <row r="475" spans="1:771 1026:1795 2050:2819 3074:3843 4098:4867 5122:5891 6146:6915 7170:7939 8194:8963 9218:9987 10242:11011 11266:12035 12290:13059 13314:14083 14338:15107 15362:16131" s="35" customFormat="1" ht="31.2" x14ac:dyDescent="0.3">
      <c r="A475" s="36"/>
      <c r="B475" s="72" t="s">
        <v>413</v>
      </c>
      <c r="C475" s="38" t="s">
        <v>14</v>
      </c>
      <c r="D475" s="39"/>
      <c r="E475" s="44"/>
      <c r="F475" s="40"/>
      <c r="G475" s="41">
        <f>SUM(G476:G477)</f>
        <v>873019440</v>
      </c>
      <c r="H475" s="42"/>
    </row>
    <row r="476" spans="1:771 1026:1795 2050:2819 3074:3843 4098:4867 5122:5891 6146:6915 7170:7939 8194:8963 9218:9987 10242:11011 11266:12035 12290:13059 13314:14083 14338:15107 15362:16131" s="35" customFormat="1" ht="31.2" x14ac:dyDescent="0.3">
      <c r="A476" s="36"/>
      <c r="B476" s="72" t="s">
        <v>1028</v>
      </c>
      <c r="C476" s="48" t="s">
        <v>2140</v>
      </c>
      <c r="D476" s="39" t="s">
        <v>13</v>
      </c>
      <c r="E476" s="44">
        <v>40.200000000000003</v>
      </c>
      <c r="F476" s="153">
        <v>15583200</v>
      </c>
      <c r="G476" s="40">
        <f>E476*F476</f>
        <v>626444640</v>
      </c>
      <c r="H476" s="42"/>
    </row>
    <row r="477" spans="1:771 1026:1795 2050:2819 3074:3843 4098:4867 5122:5891 6146:6915 7170:7939 8194:8963 9218:9987 10242:11011 11266:12035 12290:13059 13314:14083 14338:15107 15362:16131" s="35" customFormat="1" ht="31.2" x14ac:dyDescent="0.3">
      <c r="A477" s="36"/>
      <c r="B477" s="50"/>
      <c r="C477" s="43" t="s">
        <v>55</v>
      </c>
      <c r="D477" s="39" t="s">
        <v>13</v>
      </c>
      <c r="E477" s="44">
        <f>12+11.7</f>
        <v>23.7</v>
      </c>
      <c r="F477" s="153">
        <v>10404000</v>
      </c>
      <c r="G477" s="40">
        <f>E477*F477</f>
        <v>246574800</v>
      </c>
      <c r="H477" s="42"/>
    </row>
    <row r="478" spans="1:771 1026:1795 2050:2819 3074:3843 4098:4867 5122:5891 6146:6915 7170:7939 8194:8963 9218:9987 10242:11011 11266:12035 12290:13059 13314:14083 14338:15107 15362:16131" s="35" customFormat="1" ht="65.400000000000006" thickBot="1" x14ac:dyDescent="0.35">
      <c r="A478" s="53"/>
      <c r="B478" s="54"/>
      <c r="C478" s="55" t="s">
        <v>2331</v>
      </c>
      <c r="D478" s="56"/>
      <c r="E478" s="5"/>
      <c r="F478" s="6"/>
      <c r="G478" s="57"/>
      <c r="H478" s="58"/>
    </row>
    <row r="479" spans="1:771 1026:1795 2050:2819 3074:3843 4098:4867 5122:5891 6146:6915 7170:7939 8194:8963 9218:9987 10242:11011 11266:12035 12290:13059 13314:14083 14338:15107 15362:16131" s="59" customFormat="1" ht="31.8" thickBot="1" x14ac:dyDescent="0.35">
      <c r="A479" s="154"/>
      <c r="B479" s="155" t="s">
        <v>26</v>
      </c>
      <c r="C479" s="156"/>
      <c r="D479" s="154"/>
      <c r="E479" s="157"/>
      <c r="F479" s="158"/>
      <c r="G479" s="159">
        <f>SUM(G473:G478)/2</f>
        <v>873019440</v>
      </c>
      <c r="H479" s="160"/>
      <c r="IX479" s="35"/>
      <c r="IY479" s="35"/>
      <c r="ST479" s="35"/>
      <c r="SU479" s="35"/>
      <c r="ACP479" s="35"/>
      <c r="ACQ479" s="35"/>
      <c r="AML479" s="35"/>
      <c r="AMM479" s="35"/>
      <c r="AWH479" s="35"/>
      <c r="AWI479" s="35"/>
      <c r="BGD479" s="35"/>
      <c r="BGE479" s="35"/>
      <c r="BPZ479" s="35"/>
      <c r="BQA479" s="35"/>
      <c r="BZV479" s="35"/>
      <c r="BZW479" s="35"/>
      <c r="CJR479" s="35"/>
      <c r="CJS479" s="35"/>
      <c r="CTN479" s="35"/>
      <c r="CTO479" s="35"/>
      <c r="DDJ479" s="35"/>
      <c r="DDK479" s="35"/>
      <c r="DNF479" s="35"/>
      <c r="DNG479" s="35"/>
      <c r="DXB479" s="35"/>
      <c r="DXC479" s="35"/>
      <c r="EGX479" s="35"/>
      <c r="EGY479" s="35"/>
      <c r="EQT479" s="35"/>
      <c r="EQU479" s="35"/>
      <c r="FAP479" s="35"/>
      <c r="FAQ479" s="35"/>
      <c r="FKL479" s="35"/>
      <c r="FKM479" s="35"/>
      <c r="FUH479" s="35"/>
      <c r="FUI479" s="35"/>
      <c r="GED479" s="35"/>
      <c r="GEE479" s="35"/>
      <c r="GNZ479" s="35"/>
      <c r="GOA479" s="35"/>
      <c r="GXV479" s="35"/>
      <c r="GXW479" s="35"/>
      <c r="HHR479" s="35"/>
      <c r="HHS479" s="35"/>
      <c r="HRN479" s="35"/>
      <c r="HRO479" s="35"/>
      <c r="IBJ479" s="35"/>
      <c r="IBK479" s="35"/>
      <c r="ILF479" s="35"/>
      <c r="ILG479" s="35"/>
      <c r="IVB479" s="35"/>
      <c r="IVC479" s="35"/>
      <c r="JEX479" s="35"/>
      <c r="JEY479" s="35"/>
      <c r="JOT479" s="35"/>
      <c r="JOU479" s="35"/>
      <c r="JYP479" s="35"/>
      <c r="JYQ479" s="35"/>
      <c r="KIL479" s="35"/>
      <c r="KIM479" s="35"/>
      <c r="KSH479" s="35"/>
      <c r="KSI479" s="35"/>
      <c r="LCD479" s="35"/>
      <c r="LCE479" s="35"/>
      <c r="LLZ479" s="35"/>
      <c r="LMA479" s="35"/>
      <c r="LVV479" s="35"/>
      <c r="LVW479" s="35"/>
      <c r="MFR479" s="35"/>
      <c r="MFS479" s="35"/>
      <c r="MPN479" s="35"/>
      <c r="MPO479" s="35"/>
      <c r="MZJ479" s="35"/>
      <c r="MZK479" s="35"/>
      <c r="NJF479" s="35"/>
      <c r="NJG479" s="35"/>
      <c r="NTB479" s="35"/>
      <c r="NTC479" s="35"/>
      <c r="OCX479" s="35"/>
      <c r="OCY479" s="35"/>
      <c r="OMT479" s="35"/>
      <c r="OMU479" s="35"/>
      <c r="OWP479" s="35"/>
      <c r="OWQ479" s="35"/>
      <c r="PGL479" s="35"/>
      <c r="PGM479" s="35"/>
      <c r="PQH479" s="35"/>
      <c r="PQI479" s="35"/>
      <c r="QAD479" s="35"/>
      <c r="QAE479" s="35"/>
      <c r="QJZ479" s="35"/>
      <c r="QKA479" s="35"/>
      <c r="QTV479" s="35"/>
      <c r="QTW479" s="35"/>
      <c r="RDR479" s="35"/>
      <c r="RDS479" s="35"/>
      <c r="RNN479" s="35"/>
      <c r="RNO479" s="35"/>
      <c r="RXJ479" s="35"/>
      <c r="RXK479" s="35"/>
      <c r="SHF479" s="35"/>
      <c r="SHG479" s="35"/>
      <c r="SRB479" s="35"/>
      <c r="SRC479" s="35"/>
      <c r="TAX479" s="35"/>
      <c r="TAY479" s="35"/>
      <c r="TKT479" s="35"/>
      <c r="TKU479" s="35"/>
      <c r="TUP479" s="35"/>
      <c r="TUQ479" s="35"/>
      <c r="UEL479" s="35"/>
      <c r="UEM479" s="35"/>
      <c r="UOH479" s="35"/>
      <c r="UOI479" s="35"/>
      <c r="UYD479" s="35"/>
      <c r="UYE479" s="35"/>
      <c r="VHZ479" s="35"/>
      <c r="VIA479" s="35"/>
      <c r="VRV479" s="35"/>
      <c r="VRW479" s="35"/>
      <c r="WBR479" s="35"/>
      <c r="WBS479" s="35"/>
      <c r="WLN479" s="35"/>
      <c r="WLO479" s="35"/>
      <c r="WVJ479" s="35"/>
      <c r="WVK479" s="35"/>
    </row>
    <row r="480" spans="1:771 1026:1795 2050:2819 3074:3843 4098:4867 5122:5891 6146:6915 7170:7939 8194:8963 9218:9987 10242:11011 11266:12035 12290:13059 13314:14083 14338:15107 15362:16131" s="35" customFormat="1" ht="55.2" x14ac:dyDescent="0.3">
      <c r="A480" s="28">
        <v>39</v>
      </c>
      <c r="B480" s="29" t="s">
        <v>416</v>
      </c>
      <c r="C480" s="30" t="s">
        <v>2124</v>
      </c>
      <c r="D480" s="31" t="s">
        <v>13</v>
      </c>
      <c r="E480" s="32">
        <v>28.7</v>
      </c>
      <c r="F480" s="33"/>
      <c r="G480" s="33"/>
      <c r="H480" s="34" t="s">
        <v>419</v>
      </c>
    </row>
    <row r="481" spans="1:771 1026:1795 2050:2819 3074:3843 4098:4867 5122:5891 6146:6915 7170:7939 8194:8963 9218:9987 10242:11011 11266:12035 12290:13059 13314:14083 14338:15107 15362:16131" s="35" customFormat="1" x14ac:dyDescent="0.3">
      <c r="A481" s="36"/>
      <c r="B481" s="72" t="s">
        <v>417</v>
      </c>
      <c r="C481" s="38" t="s">
        <v>14</v>
      </c>
      <c r="D481" s="39"/>
      <c r="E481" s="44"/>
      <c r="F481" s="40"/>
      <c r="G481" s="41">
        <f>SUM(G482)</f>
        <v>298594800</v>
      </c>
      <c r="H481" s="42"/>
    </row>
    <row r="482" spans="1:771 1026:1795 2050:2819 3074:3843 4098:4867 5122:5891 6146:6915 7170:7939 8194:8963 9218:9987 10242:11011 11266:12035 12290:13059 13314:14083 14338:15107 15362:16131" s="35" customFormat="1" ht="78" x14ac:dyDescent="0.3">
      <c r="A482" s="36"/>
      <c r="B482" s="72" t="s">
        <v>418</v>
      </c>
      <c r="C482" s="43" t="s">
        <v>55</v>
      </c>
      <c r="D482" s="39" t="s">
        <v>13</v>
      </c>
      <c r="E482" s="44">
        <v>28.7</v>
      </c>
      <c r="F482" s="153">
        <v>10404000</v>
      </c>
      <c r="G482" s="40">
        <f>E482*F482</f>
        <v>298594800</v>
      </c>
      <c r="H482" s="42"/>
    </row>
    <row r="483" spans="1:771 1026:1795 2050:2819 3074:3843 4098:4867 5122:5891 6146:6915 7170:7939 8194:8963 9218:9987 10242:11011 11266:12035 12290:13059 13314:14083 14338:15107 15362:16131" s="35" customFormat="1" x14ac:dyDescent="0.3">
      <c r="A483" s="36"/>
      <c r="B483" s="50"/>
      <c r="C483" s="47" t="s">
        <v>35</v>
      </c>
      <c r="D483" s="39"/>
      <c r="E483" s="44"/>
      <c r="F483" s="40"/>
      <c r="G483" s="41">
        <f>SUM(G484:G485)</f>
        <v>351322</v>
      </c>
      <c r="H483" s="45"/>
    </row>
    <row r="484" spans="1:771 1026:1795 2050:2819 3074:3843 4098:4867 5122:5891 6146:6915 7170:7939 8194:8963 9218:9987 10242:11011 11266:12035 12290:13059 13314:14083 14338:15107 15362:16131" s="35" customFormat="1" x14ac:dyDescent="0.3">
      <c r="A484" s="36"/>
      <c r="B484" s="46"/>
      <c r="C484" s="48" t="s">
        <v>18</v>
      </c>
      <c r="D484" s="39" t="s">
        <v>234</v>
      </c>
      <c r="E484" s="44">
        <v>7.05</v>
      </c>
      <c r="F484" s="40">
        <v>41000</v>
      </c>
      <c r="G484" s="40">
        <f>E484*F484</f>
        <v>289050</v>
      </c>
      <c r="H484" s="52"/>
    </row>
    <row r="485" spans="1:771 1026:1795 2050:2819 3074:3843 4098:4867 5122:5891 6146:6915 7170:7939 8194:8963 9218:9987 10242:11011 11266:12035 12290:13059 13314:14083 14338:15107 15362:16131" s="35" customFormat="1" x14ac:dyDescent="0.3">
      <c r="A485" s="36"/>
      <c r="B485" s="46"/>
      <c r="C485" s="48" t="s">
        <v>420</v>
      </c>
      <c r="D485" s="39" t="s">
        <v>231</v>
      </c>
      <c r="E485" s="44">
        <v>3.2000000000000001E-2</v>
      </c>
      <c r="F485" s="40">
        <v>1946000</v>
      </c>
      <c r="G485" s="40">
        <f>E485*F485</f>
        <v>62272</v>
      </c>
      <c r="H485" s="52"/>
    </row>
    <row r="486" spans="1:771 1026:1795 2050:2819 3074:3843 4098:4867 5122:5891 6146:6915 7170:7939 8194:8963 9218:9987 10242:11011 11266:12035 12290:13059 13314:14083 14338:15107 15362:16131" s="35" customFormat="1" x14ac:dyDescent="0.3">
      <c r="A486" s="36"/>
      <c r="B486" s="46"/>
      <c r="C486" s="51" t="s">
        <v>23</v>
      </c>
      <c r="D486" s="39"/>
      <c r="E486" s="1"/>
      <c r="F486" s="2"/>
      <c r="G486" s="41">
        <f>SUM(G487)</f>
        <v>3060000</v>
      </c>
      <c r="H486" s="52"/>
    </row>
    <row r="487" spans="1:771 1026:1795 2050:2819 3074:3843 4098:4867 5122:5891 6146:6915 7170:7939 8194:8963 9218:9987 10242:11011 11266:12035 12290:13059 13314:14083 14338:15107 15362:16131" s="35" customFormat="1" x14ac:dyDescent="0.3">
      <c r="A487" s="36"/>
      <c r="B487" s="46"/>
      <c r="C487" s="50" t="s">
        <v>24</v>
      </c>
      <c r="D487" s="39" t="s">
        <v>25</v>
      </c>
      <c r="E487" s="1">
        <f>1*30*6</f>
        <v>180</v>
      </c>
      <c r="F487" s="2">
        <v>17000</v>
      </c>
      <c r="G487" s="40">
        <f>E487*F487</f>
        <v>3060000</v>
      </c>
      <c r="H487" s="42"/>
    </row>
    <row r="488" spans="1:771 1026:1795 2050:2819 3074:3843 4098:4867 5122:5891 6146:6915 7170:7939 8194:8963 9218:9987 10242:11011 11266:12035 12290:13059 13314:14083 14338:15107 15362:16131" s="35" customFormat="1" ht="65.400000000000006" thickBot="1" x14ac:dyDescent="0.35">
      <c r="A488" s="53"/>
      <c r="B488" s="54"/>
      <c r="C488" s="55" t="s">
        <v>2331</v>
      </c>
      <c r="D488" s="56"/>
      <c r="E488" s="5"/>
      <c r="F488" s="6"/>
      <c r="G488" s="57"/>
      <c r="H488" s="58"/>
    </row>
    <row r="489" spans="1:771 1026:1795 2050:2819 3074:3843 4098:4867 5122:5891 6146:6915 7170:7939 8194:8963 9218:9987 10242:11011 11266:12035 12290:13059 13314:14083 14338:15107 15362:16131" s="59" customFormat="1" ht="31.8" thickBot="1" x14ac:dyDescent="0.35">
      <c r="A489" s="154"/>
      <c r="B489" s="155" t="s">
        <v>26</v>
      </c>
      <c r="C489" s="156"/>
      <c r="D489" s="154"/>
      <c r="E489" s="157"/>
      <c r="F489" s="158"/>
      <c r="G489" s="159">
        <f>SUM(G480:G488)/2</f>
        <v>302006122</v>
      </c>
      <c r="H489" s="160"/>
      <c r="IX489" s="35"/>
      <c r="IY489" s="35"/>
      <c r="ST489" s="35"/>
      <c r="SU489" s="35"/>
      <c r="ACP489" s="35"/>
      <c r="ACQ489" s="35"/>
      <c r="AML489" s="35"/>
      <c r="AMM489" s="35"/>
      <c r="AWH489" s="35"/>
      <c r="AWI489" s="35"/>
      <c r="BGD489" s="35"/>
      <c r="BGE489" s="35"/>
      <c r="BPZ489" s="35"/>
      <c r="BQA489" s="35"/>
      <c r="BZV489" s="35"/>
      <c r="BZW489" s="35"/>
      <c r="CJR489" s="35"/>
      <c r="CJS489" s="35"/>
      <c r="CTN489" s="35"/>
      <c r="CTO489" s="35"/>
      <c r="DDJ489" s="35"/>
      <c r="DDK489" s="35"/>
      <c r="DNF489" s="35"/>
      <c r="DNG489" s="35"/>
      <c r="DXB489" s="35"/>
      <c r="DXC489" s="35"/>
      <c r="EGX489" s="35"/>
      <c r="EGY489" s="35"/>
      <c r="EQT489" s="35"/>
      <c r="EQU489" s="35"/>
      <c r="FAP489" s="35"/>
      <c r="FAQ489" s="35"/>
      <c r="FKL489" s="35"/>
      <c r="FKM489" s="35"/>
      <c r="FUH489" s="35"/>
      <c r="FUI489" s="35"/>
      <c r="GED489" s="35"/>
      <c r="GEE489" s="35"/>
      <c r="GNZ489" s="35"/>
      <c r="GOA489" s="35"/>
      <c r="GXV489" s="35"/>
      <c r="GXW489" s="35"/>
      <c r="HHR489" s="35"/>
      <c r="HHS489" s="35"/>
      <c r="HRN489" s="35"/>
      <c r="HRO489" s="35"/>
      <c r="IBJ489" s="35"/>
      <c r="IBK489" s="35"/>
      <c r="ILF489" s="35"/>
      <c r="ILG489" s="35"/>
      <c r="IVB489" s="35"/>
      <c r="IVC489" s="35"/>
      <c r="JEX489" s="35"/>
      <c r="JEY489" s="35"/>
      <c r="JOT489" s="35"/>
      <c r="JOU489" s="35"/>
      <c r="JYP489" s="35"/>
      <c r="JYQ489" s="35"/>
      <c r="KIL489" s="35"/>
      <c r="KIM489" s="35"/>
      <c r="KSH489" s="35"/>
      <c r="KSI489" s="35"/>
      <c r="LCD489" s="35"/>
      <c r="LCE489" s="35"/>
      <c r="LLZ489" s="35"/>
      <c r="LMA489" s="35"/>
      <c r="LVV489" s="35"/>
      <c r="LVW489" s="35"/>
      <c r="MFR489" s="35"/>
      <c r="MFS489" s="35"/>
      <c r="MPN489" s="35"/>
      <c r="MPO489" s="35"/>
      <c r="MZJ489" s="35"/>
      <c r="MZK489" s="35"/>
      <c r="NJF489" s="35"/>
      <c r="NJG489" s="35"/>
      <c r="NTB489" s="35"/>
      <c r="NTC489" s="35"/>
      <c r="OCX489" s="35"/>
      <c r="OCY489" s="35"/>
      <c r="OMT489" s="35"/>
      <c r="OMU489" s="35"/>
      <c r="OWP489" s="35"/>
      <c r="OWQ489" s="35"/>
      <c r="PGL489" s="35"/>
      <c r="PGM489" s="35"/>
      <c r="PQH489" s="35"/>
      <c r="PQI489" s="35"/>
      <c r="QAD489" s="35"/>
      <c r="QAE489" s="35"/>
      <c r="QJZ489" s="35"/>
      <c r="QKA489" s="35"/>
      <c r="QTV489" s="35"/>
      <c r="QTW489" s="35"/>
      <c r="RDR489" s="35"/>
      <c r="RDS489" s="35"/>
      <c r="RNN489" s="35"/>
      <c r="RNO489" s="35"/>
      <c r="RXJ489" s="35"/>
      <c r="RXK489" s="35"/>
      <c r="SHF489" s="35"/>
      <c r="SHG489" s="35"/>
      <c r="SRB489" s="35"/>
      <c r="SRC489" s="35"/>
      <c r="TAX489" s="35"/>
      <c r="TAY489" s="35"/>
      <c r="TKT489" s="35"/>
      <c r="TKU489" s="35"/>
      <c r="TUP489" s="35"/>
      <c r="TUQ489" s="35"/>
      <c r="UEL489" s="35"/>
      <c r="UEM489" s="35"/>
      <c r="UOH489" s="35"/>
      <c r="UOI489" s="35"/>
      <c r="UYD489" s="35"/>
      <c r="UYE489" s="35"/>
      <c r="VHZ489" s="35"/>
      <c r="VIA489" s="35"/>
      <c r="VRV489" s="35"/>
      <c r="VRW489" s="35"/>
      <c r="WBR489" s="35"/>
      <c r="WBS489" s="35"/>
      <c r="WLN489" s="35"/>
      <c r="WLO489" s="35"/>
      <c r="WVJ489" s="35"/>
      <c r="WVK489" s="35"/>
    </row>
    <row r="490" spans="1:771 1026:1795 2050:2819 3074:3843 4098:4867 5122:5891 6146:6915 7170:7939 8194:8963 9218:9987 10242:11011 11266:12035 12290:13059 13314:14083 14338:15107 15362:16131" s="35" customFormat="1" ht="55.2" x14ac:dyDescent="0.3">
      <c r="A490" s="28">
        <v>40</v>
      </c>
      <c r="B490" s="29" t="s">
        <v>434</v>
      </c>
      <c r="C490" s="30" t="s">
        <v>437</v>
      </c>
      <c r="D490" s="31" t="s">
        <v>13</v>
      </c>
      <c r="E490" s="32">
        <v>18.3</v>
      </c>
      <c r="F490" s="33"/>
      <c r="G490" s="33"/>
      <c r="H490" s="34" t="s">
        <v>438</v>
      </c>
    </row>
    <row r="491" spans="1:771 1026:1795 2050:2819 3074:3843 4098:4867 5122:5891 6146:6915 7170:7939 8194:8963 9218:9987 10242:11011 11266:12035 12290:13059 13314:14083 14338:15107 15362:16131" s="35" customFormat="1" x14ac:dyDescent="0.3">
      <c r="A491" s="36"/>
      <c r="B491" s="72" t="s">
        <v>435</v>
      </c>
      <c r="C491" s="38" t="s">
        <v>14</v>
      </c>
      <c r="D491" s="39"/>
      <c r="E491" s="44"/>
      <c r="F491" s="40"/>
      <c r="G491" s="41">
        <f>SUM(G492)</f>
        <v>356465700</v>
      </c>
      <c r="H491" s="42"/>
    </row>
    <row r="492" spans="1:771 1026:1795 2050:2819 3074:3843 4098:4867 5122:5891 6146:6915 7170:7939 8194:8963 9218:9987 10242:11011 11266:12035 12290:13059 13314:14083 14338:15107 15362:16131" s="35" customFormat="1" ht="62.4" x14ac:dyDescent="0.3">
      <c r="A492" s="36"/>
      <c r="B492" s="72" t="s">
        <v>436</v>
      </c>
      <c r="C492" s="48" t="s">
        <v>38</v>
      </c>
      <c r="D492" s="39" t="s">
        <v>13</v>
      </c>
      <c r="E492" s="44">
        <v>18.3</v>
      </c>
      <c r="F492" s="161">
        <v>19479000</v>
      </c>
      <c r="G492" s="40">
        <f>E492*F492</f>
        <v>356465700</v>
      </c>
      <c r="H492" s="42"/>
    </row>
    <row r="493" spans="1:771 1026:1795 2050:2819 3074:3843 4098:4867 5122:5891 6146:6915 7170:7939 8194:8963 9218:9987 10242:11011 11266:12035 12290:13059 13314:14083 14338:15107 15362:16131" s="35" customFormat="1" x14ac:dyDescent="0.3">
      <c r="A493" s="36"/>
      <c r="B493" s="50"/>
      <c r="C493" s="47" t="s">
        <v>35</v>
      </c>
      <c r="D493" s="39"/>
      <c r="E493" s="44"/>
      <c r="F493" s="40"/>
      <c r="G493" s="41">
        <f>SUM(G494)</f>
        <v>112575969.99999999</v>
      </c>
      <c r="H493" s="45"/>
    </row>
    <row r="494" spans="1:771 1026:1795 2050:2819 3074:3843 4098:4867 5122:5891 6146:6915 7170:7939 8194:8963 9218:9987 10242:11011 11266:12035 12290:13059 13314:14083 14338:15107 15362:16131" s="35" customFormat="1" ht="93.6" x14ac:dyDescent="0.3">
      <c r="A494" s="36"/>
      <c r="B494" s="46"/>
      <c r="C494" s="48" t="s">
        <v>439</v>
      </c>
      <c r="D494" s="39" t="s">
        <v>234</v>
      </c>
      <c r="E494" s="44">
        <f>8.45*1.45*2</f>
        <v>24.504999999999995</v>
      </c>
      <c r="F494" s="40">
        <v>4594000</v>
      </c>
      <c r="G494" s="40">
        <f>E494*F494</f>
        <v>112575969.99999999</v>
      </c>
      <c r="H494" s="42" t="s">
        <v>2398</v>
      </c>
    </row>
    <row r="495" spans="1:771 1026:1795 2050:2819 3074:3843 4098:4867 5122:5891 6146:6915 7170:7939 8194:8963 9218:9987 10242:11011 11266:12035 12290:13059 13314:14083 14338:15107 15362:16131" s="35" customFormat="1" x14ac:dyDescent="0.3">
      <c r="A495" s="36"/>
      <c r="B495" s="46"/>
      <c r="C495" s="51" t="s">
        <v>20</v>
      </c>
      <c r="D495" s="39"/>
      <c r="E495" s="44"/>
      <c r="F495" s="40"/>
      <c r="G495" s="41">
        <f>SUM(G496)</f>
        <v>200000</v>
      </c>
      <c r="H495" s="52"/>
    </row>
    <row r="496" spans="1:771 1026:1795 2050:2819 3074:3843 4098:4867 5122:5891 6146:6915 7170:7939 8194:8963 9218:9987 10242:11011 11266:12035 12290:13059 13314:14083 14338:15107 15362:16131" s="77" customFormat="1" x14ac:dyDescent="0.3">
      <c r="A496" s="36"/>
      <c r="B496" s="37"/>
      <c r="C496" s="75" t="s">
        <v>440</v>
      </c>
      <c r="D496" s="76" t="s">
        <v>21</v>
      </c>
      <c r="E496" s="73">
        <v>1</v>
      </c>
      <c r="F496" s="74">
        <v>200000</v>
      </c>
      <c r="G496" s="40">
        <f>E496*F496</f>
        <v>200000</v>
      </c>
      <c r="H496" s="52"/>
    </row>
    <row r="497" spans="1:771 1026:1795 2050:2819 3074:3843 4098:4867 5122:5891 6146:6915 7170:7939 8194:8963 9218:9987 10242:11011 11266:12035 12290:13059 13314:14083 14338:15107 15362:16131" s="35" customFormat="1" ht="65.400000000000006" thickBot="1" x14ac:dyDescent="0.35">
      <c r="A497" s="53"/>
      <c r="B497" s="54"/>
      <c r="C497" s="55" t="s">
        <v>2331</v>
      </c>
      <c r="D497" s="56"/>
      <c r="E497" s="5"/>
      <c r="F497" s="6"/>
      <c r="G497" s="57"/>
      <c r="H497" s="58"/>
    </row>
    <row r="498" spans="1:771 1026:1795 2050:2819 3074:3843 4098:4867 5122:5891 6146:6915 7170:7939 8194:8963 9218:9987 10242:11011 11266:12035 12290:13059 13314:14083 14338:15107 15362:16131" s="59" customFormat="1" ht="31.8" thickBot="1" x14ac:dyDescent="0.35">
      <c r="A498" s="154"/>
      <c r="B498" s="155" t="s">
        <v>26</v>
      </c>
      <c r="C498" s="156"/>
      <c r="D498" s="154"/>
      <c r="E498" s="157"/>
      <c r="F498" s="158"/>
      <c r="G498" s="159">
        <f>SUM(G490:G497)/2</f>
        <v>469241670</v>
      </c>
      <c r="H498" s="160"/>
      <c r="IX498" s="35"/>
      <c r="IY498" s="35"/>
      <c r="ST498" s="35"/>
      <c r="SU498" s="35"/>
      <c r="ACP498" s="35"/>
      <c r="ACQ498" s="35"/>
      <c r="AML498" s="35"/>
      <c r="AMM498" s="35"/>
      <c r="AWH498" s="35"/>
      <c r="AWI498" s="35"/>
      <c r="BGD498" s="35"/>
      <c r="BGE498" s="35"/>
      <c r="BPZ498" s="35"/>
      <c r="BQA498" s="35"/>
      <c r="BZV498" s="35"/>
      <c r="BZW498" s="35"/>
      <c r="CJR498" s="35"/>
      <c r="CJS498" s="35"/>
      <c r="CTN498" s="35"/>
      <c r="CTO498" s="35"/>
      <c r="DDJ498" s="35"/>
      <c r="DDK498" s="35"/>
      <c r="DNF498" s="35"/>
      <c r="DNG498" s="35"/>
      <c r="DXB498" s="35"/>
      <c r="DXC498" s="35"/>
      <c r="EGX498" s="35"/>
      <c r="EGY498" s="35"/>
      <c r="EQT498" s="35"/>
      <c r="EQU498" s="35"/>
      <c r="FAP498" s="35"/>
      <c r="FAQ498" s="35"/>
      <c r="FKL498" s="35"/>
      <c r="FKM498" s="35"/>
      <c r="FUH498" s="35"/>
      <c r="FUI498" s="35"/>
      <c r="GED498" s="35"/>
      <c r="GEE498" s="35"/>
      <c r="GNZ498" s="35"/>
      <c r="GOA498" s="35"/>
      <c r="GXV498" s="35"/>
      <c r="GXW498" s="35"/>
      <c r="HHR498" s="35"/>
      <c r="HHS498" s="35"/>
      <c r="HRN498" s="35"/>
      <c r="HRO498" s="35"/>
      <c r="IBJ498" s="35"/>
      <c r="IBK498" s="35"/>
      <c r="ILF498" s="35"/>
      <c r="ILG498" s="35"/>
      <c r="IVB498" s="35"/>
      <c r="IVC498" s="35"/>
      <c r="JEX498" s="35"/>
      <c r="JEY498" s="35"/>
      <c r="JOT498" s="35"/>
      <c r="JOU498" s="35"/>
      <c r="JYP498" s="35"/>
      <c r="JYQ498" s="35"/>
      <c r="KIL498" s="35"/>
      <c r="KIM498" s="35"/>
      <c r="KSH498" s="35"/>
      <c r="KSI498" s="35"/>
      <c r="LCD498" s="35"/>
      <c r="LCE498" s="35"/>
      <c r="LLZ498" s="35"/>
      <c r="LMA498" s="35"/>
      <c r="LVV498" s="35"/>
      <c r="LVW498" s="35"/>
      <c r="MFR498" s="35"/>
      <c r="MFS498" s="35"/>
      <c r="MPN498" s="35"/>
      <c r="MPO498" s="35"/>
      <c r="MZJ498" s="35"/>
      <c r="MZK498" s="35"/>
      <c r="NJF498" s="35"/>
      <c r="NJG498" s="35"/>
      <c r="NTB498" s="35"/>
      <c r="NTC498" s="35"/>
      <c r="OCX498" s="35"/>
      <c r="OCY498" s="35"/>
      <c r="OMT498" s="35"/>
      <c r="OMU498" s="35"/>
      <c r="OWP498" s="35"/>
      <c r="OWQ498" s="35"/>
      <c r="PGL498" s="35"/>
      <c r="PGM498" s="35"/>
      <c r="PQH498" s="35"/>
      <c r="PQI498" s="35"/>
      <c r="QAD498" s="35"/>
      <c r="QAE498" s="35"/>
      <c r="QJZ498" s="35"/>
      <c r="QKA498" s="35"/>
      <c r="QTV498" s="35"/>
      <c r="QTW498" s="35"/>
      <c r="RDR498" s="35"/>
      <c r="RDS498" s="35"/>
      <c r="RNN498" s="35"/>
      <c r="RNO498" s="35"/>
      <c r="RXJ498" s="35"/>
      <c r="RXK498" s="35"/>
      <c r="SHF498" s="35"/>
      <c r="SHG498" s="35"/>
      <c r="SRB498" s="35"/>
      <c r="SRC498" s="35"/>
      <c r="TAX498" s="35"/>
      <c r="TAY498" s="35"/>
      <c r="TKT498" s="35"/>
      <c r="TKU498" s="35"/>
      <c r="TUP498" s="35"/>
      <c r="TUQ498" s="35"/>
      <c r="UEL498" s="35"/>
      <c r="UEM498" s="35"/>
      <c r="UOH498" s="35"/>
      <c r="UOI498" s="35"/>
      <c r="UYD498" s="35"/>
      <c r="UYE498" s="35"/>
      <c r="VHZ498" s="35"/>
      <c r="VIA498" s="35"/>
      <c r="VRV498" s="35"/>
      <c r="VRW498" s="35"/>
      <c r="WBR498" s="35"/>
      <c r="WBS498" s="35"/>
      <c r="WLN498" s="35"/>
      <c r="WLO498" s="35"/>
      <c r="WVJ498" s="35"/>
      <c r="WVK498" s="35"/>
    </row>
    <row r="499" spans="1:771 1026:1795 2050:2819 3074:3843 4098:4867 5122:5891 6146:6915 7170:7939 8194:8963 9218:9987 10242:11011 11266:12035 12290:13059 13314:14083 14338:15107 15362:16131" s="35" customFormat="1" ht="55.2" x14ac:dyDescent="0.3">
      <c r="A499" s="28">
        <v>41</v>
      </c>
      <c r="B499" s="29" t="s">
        <v>441</v>
      </c>
      <c r="C499" s="30" t="s">
        <v>449</v>
      </c>
      <c r="D499" s="31" t="s">
        <v>13</v>
      </c>
      <c r="E499" s="32">
        <v>8.1</v>
      </c>
      <c r="F499" s="33"/>
      <c r="G499" s="33"/>
      <c r="H499" s="34" t="s">
        <v>445</v>
      </c>
    </row>
    <row r="500" spans="1:771 1026:1795 2050:2819 3074:3843 4098:4867 5122:5891 6146:6915 7170:7939 8194:8963 9218:9987 10242:11011 11266:12035 12290:13059 13314:14083 14338:15107 15362:16131" s="35" customFormat="1" x14ac:dyDescent="0.3">
      <c r="A500" s="36"/>
      <c r="B500" s="72" t="s">
        <v>442</v>
      </c>
      <c r="C500" s="38" t="s">
        <v>14</v>
      </c>
      <c r="D500" s="39"/>
      <c r="E500" s="44"/>
      <c r="F500" s="40"/>
      <c r="G500" s="41">
        <f>SUM(G501)</f>
        <v>126223920</v>
      </c>
      <c r="H500" s="42"/>
    </row>
    <row r="501" spans="1:771 1026:1795 2050:2819 3074:3843 4098:4867 5122:5891 6146:6915 7170:7939 8194:8963 9218:9987 10242:11011 11266:12035 12290:13059 13314:14083 14338:15107 15362:16131" s="35" customFormat="1" ht="62.4" x14ac:dyDescent="0.3">
      <c r="A501" s="36"/>
      <c r="B501" s="72" t="s">
        <v>443</v>
      </c>
      <c r="C501" s="43" t="s">
        <v>446</v>
      </c>
      <c r="D501" s="39" t="s">
        <v>13</v>
      </c>
      <c r="E501" s="44">
        <v>8.1</v>
      </c>
      <c r="F501" s="153">
        <v>15583200</v>
      </c>
      <c r="G501" s="40">
        <f>E501*F501</f>
        <v>126223920</v>
      </c>
      <c r="H501" s="163" t="s">
        <v>2156</v>
      </c>
    </row>
    <row r="502" spans="1:771 1026:1795 2050:2819 3074:3843 4098:4867 5122:5891 6146:6915 7170:7939 8194:8963 9218:9987 10242:11011 11266:12035 12290:13059 13314:14083 14338:15107 15362:16131" s="35" customFormat="1" x14ac:dyDescent="0.3">
      <c r="A502" s="36"/>
      <c r="B502" s="72" t="s">
        <v>444</v>
      </c>
      <c r="C502" s="47" t="s">
        <v>35</v>
      </c>
      <c r="D502" s="39"/>
      <c r="E502" s="44"/>
      <c r="F502" s="40"/>
      <c r="G502" s="41">
        <f>SUM(G503)</f>
        <v>28592320</v>
      </c>
      <c r="H502" s="45"/>
    </row>
    <row r="503" spans="1:771 1026:1795 2050:2819 3074:3843 4098:4867 5122:5891 6146:6915 7170:7939 8194:8963 9218:9987 10242:11011 11266:12035 12290:13059 13314:14083 14338:15107 15362:16131" s="35" customFormat="1" ht="93.6" x14ac:dyDescent="0.3">
      <c r="A503" s="36"/>
      <c r="B503" s="46"/>
      <c r="C503" s="48" t="s">
        <v>447</v>
      </c>
      <c r="D503" s="39" t="s">
        <v>234</v>
      </c>
      <c r="E503" s="44">
        <v>7.96</v>
      </c>
      <c r="F503" s="40">
        <v>3592000</v>
      </c>
      <c r="G503" s="40">
        <f>E503*F503</f>
        <v>28592320</v>
      </c>
      <c r="H503" s="42" t="s">
        <v>2399</v>
      </c>
    </row>
    <row r="504" spans="1:771 1026:1795 2050:2819 3074:3843 4098:4867 5122:5891 6146:6915 7170:7939 8194:8963 9218:9987 10242:11011 11266:12035 12290:13059 13314:14083 14338:15107 15362:16131" s="35" customFormat="1" x14ac:dyDescent="0.3">
      <c r="A504" s="36"/>
      <c r="B504" s="46"/>
      <c r="C504" s="51" t="s">
        <v>20</v>
      </c>
      <c r="D504" s="39"/>
      <c r="E504" s="44"/>
      <c r="F504" s="40"/>
      <c r="G504" s="41">
        <f>SUM(G505)</f>
        <v>200000</v>
      </c>
      <c r="H504" s="52"/>
    </row>
    <row r="505" spans="1:771 1026:1795 2050:2819 3074:3843 4098:4867 5122:5891 6146:6915 7170:7939 8194:8963 9218:9987 10242:11011 11266:12035 12290:13059 13314:14083 14338:15107 15362:16131" s="77" customFormat="1" x14ac:dyDescent="0.3">
      <c r="A505" s="36"/>
      <c r="B505" s="37"/>
      <c r="C505" s="75" t="s">
        <v>440</v>
      </c>
      <c r="D505" s="76" t="s">
        <v>21</v>
      </c>
      <c r="E505" s="73">
        <v>1</v>
      </c>
      <c r="F505" s="74">
        <v>200000</v>
      </c>
      <c r="G505" s="40">
        <f>E505*F505</f>
        <v>200000</v>
      </c>
      <c r="H505" s="52"/>
    </row>
    <row r="506" spans="1:771 1026:1795 2050:2819 3074:3843 4098:4867 5122:5891 6146:6915 7170:7939 8194:8963 9218:9987 10242:11011 11266:12035 12290:13059 13314:14083 14338:15107 15362:16131" s="35" customFormat="1" ht="65.400000000000006" thickBot="1" x14ac:dyDescent="0.35">
      <c r="A506" s="53"/>
      <c r="B506" s="54"/>
      <c r="C506" s="55" t="s">
        <v>2331</v>
      </c>
      <c r="D506" s="56"/>
      <c r="E506" s="5"/>
      <c r="F506" s="6"/>
      <c r="G506" s="57"/>
      <c r="H506" s="58"/>
    </row>
    <row r="507" spans="1:771 1026:1795 2050:2819 3074:3843 4098:4867 5122:5891 6146:6915 7170:7939 8194:8963 9218:9987 10242:11011 11266:12035 12290:13059 13314:14083 14338:15107 15362:16131" s="59" customFormat="1" ht="31.8" thickBot="1" x14ac:dyDescent="0.35">
      <c r="A507" s="154"/>
      <c r="B507" s="155" t="s">
        <v>26</v>
      </c>
      <c r="C507" s="156"/>
      <c r="D507" s="154"/>
      <c r="E507" s="157"/>
      <c r="F507" s="158"/>
      <c r="G507" s="159">
        <f>SUM(G499:G506)/2</f>
        <v>155016240</v>
      </c>
      <c r="H507" s="160"/>
      <c r="IX507" s="35"/>
      <c r="IY507" s="35"/>
      <c r="ST507" s="35"/>
      <c r="SU507" s="35"/>
      <c r="ACP507" s="35"/>
      <c r="ACQ507" s="35"/>
      <c r="AML507" s="35"/>
      <c r="AMM507" s="35"/>
      <c r="AWH507" s="35"/>
      <c r="AWI507" s="35"/>
      <c r="BGD507" s="35"/>
      <c r="BGE507" s="35"/>
      <c r="BPZ507" s="35"/>
      <c r="BQA507" s="35"/>
      <c r="BZV507" s="35"/>
      <c r="BZW507" s="35"/>
      <c r="CJR507" s="35"/>
      <c r="CJS507" s="35"/>
      <c r="CTN507" s="35"/>
      <c r="CTO507" s="35"/>
      <c r="DDJ507" s="35"/>
      <c r="DDK507" s="35"/>
      <c r="DNF507" s="35"/>
      <c r="DNG507" s="35"/>
      <c r="DXB507" s="35"/>
      <c r="DXC507" s="35"/>
      <c r="EGX507" s="35"/>
      <c r="EGY507" s="35"/>
      <c r="EQT507" s="35"/>
      <c r="EQU507" s="35"/>
      <c r="FAP507" s="35"/>
      <c r="FAQ507" s="35"/>
      <c r="FKL507" s="35"/>
      <c r="FKM507" s="35"/>
      <c r="FUH507" s="35"/>
      <c r="FUI507" s="35"/>
      <c r="GED507" s="35"/>
      <c r="GEE507" s="35"/>
      <c r="GNZ507" s="35"/>
      <c r="GOA507" s="35"/>
      <c r="GXV507" s="35"/>
      <c r="GXW507" s="35"/>
      <c r="HHR507" s="35"/>
      <c r="HHS507" s="35"/>
      <c r="HRN507" s="35"/>
      <c r="HRO507" s="35"/>
      <c r="IBJ507" s="35"/>
      <c r="IBK507" s="35"/>
      <c r="ILF507" s="35"/>
      <c r="ILG507" s="35"/>
      <c r="IVB507" s="35"/>
      <c r="IVC507" s="35"/>
      <c r="JEX507" s="35"/>
      <c r="JEY507" s="35"/>
      <c r="JOT507" s="35"/>
      <c r="JOU507" s="35"/>
      <c r="JYP507" s="35"/>
      <c r="JYQ507" s="35"/>
      <c r="KIL507" s="35"/>
      <c r="KIM507" s="35"/>
      <c r="KSH507" s="35"/>
      <c r="KSI507" s="35"/>
      <c r="LCD507" s="35"/>
      <c r="LCE507" s="35"/>
      <c r="LLZ507" s="35"/>
      <c r="LMA507" s="35"/>
      <c r="LVV507" s="35"/>
      <c r="LVW507" s="35"/>
      <c r="MFR507" s="35"/>
      <c r="MFS507" s="35"/>
      <c r="MPN507" s="35"/>
      <c r="MPO507" s="35"/>
      <c r="MZJ507" s="35"/>
      <c r="MZK507" s="35"/>
      <c r="NJF507" s="35"/>
      <c r="NJG507" s="35"/>
      <c r="NTB507" s="35"/>
      <c r="NTC507" s="35"/>
      <c r="OCX507" s="35"/>
      <c r="OCY507" s="35"/>
      <c r="OMT507" s="35"/>
      <c r="OMU507" s="35"/>
      <c r="OWP507" s="35"/>
      <c r="OWQ507" s="35"/>
      <c r="PGL507" s="35"/>
      <c r="PGM507" s="35"/>
      <c r="PQH507" s="35"/>
      <c r="PQI507" s="35"/>
      <c r="QAD507" s="35"/>
      <c r="QAE507" s="35"/>
      <c r="QJZ507" s="35"/>
      <c r="QKA507" s="35"/>
      <c r="QTV507" s="35"/>
      <c r="QTW507" s="35"/>
      <c r="RDR507" s="35"/>
      <c r="RDS507" s="35"/>
      <c r="RNN507" s="35"/>
      <c r="RNO507" s="35"/>
      <c r="RXJ507" s="35"/>
      <c r="RXK507" s="35"/>
      <c r="SHF507" s="35"/>
      <c r="SHG507" s="35"/>
      <c r="SRB507" s="35"/>
      <c r="SRC507" s="35"/>
      <c r="TAX507" s="35"/>
      <c r="TAY507" s="35"/>
      <c r="TKT507" s="35"/>
      <c r="TKU507" s="35"/>
      <c r="TUP507" s="35"/>
      <c r="TUQ507" s="35"/>
      <c r="UEL507" s="35"/>
      <c r="UEM507" s="35"/>
      <c r="UOH507" s="35"/>
      <c r="UOI507" s="35"/>
      <c r="UYD507" s="35"/>
      <c r="UYE507" s="35"/>
      <c r="VHZ507" s="35"/>
      <c r="VIA507" s="35"/>
      <c r="VRV507" s="35"/>
      <c r="VRW507" s="35"/>
      <c r="WBR507" s="35"/>
      <c r="WBS507" s="35"/>
      <c r="WLN507" s="35"/>
      <c r="WLO507" s="35"/>
      <c r="WVJ507" s="35"/>
      <c r="WVK507" s="35"/>
    </row>
    <row r="508" spans="1:771 1026:1795 2050:2819 3074:3843 4098:4867 5122:5891 6146:6915 7170:7939 8194:8963 9218:9987 10242:11011 11266:12035 12290:13059 13314:14083 14338:15107 15362:16131" s="166" customFormat="1" ht="55.2" x14ac:dyDescent="0.25">
      <c r="A508" s="164">
        <v>42</v>
      </c>
      <c r="B508" s="165" t="s">
        <v>1020</v>
      </c>
      <c r="C508" s="78" t="s">
        <v>1021</v>
      </c>
      <c r="D508" s="79" t="s">
        <v>13</v>
      </c>
      <c r="E508" s="80">
        <v>32.1</v>
      </c>
      <c r="F508" s="81"/>
      <c r="G508" s="33"/>
      <c r="H508" s="34" t="s">
        <v>1022</v>
      </c>
    </row>
    <row r="509" spans="1:771 1026:1795 2050:2819 3074:3843 4098:4867 5122:5891 6146:6915 7170:7939 8194:8963 9218:9987 10242:11011 11266:12035 12290:13059 13314:14083 14338:15107 15362:16131" s="166" customFormat="1" x14ac:dyDescent="0.25">
      <c r="A509" s="167"/>
      <c r="B509" s="168" t="s">
        <v>326</v>
      </c>
      <c r="C509" s="38" t="s">
        <v>14</v>
      </c>
      <c r="D509" s="76"/>
      <c r="E509" s="73"/>
      <c r="F509" s="74"/>
      <c r="G509" s="41">
        <f>SUM(G510)</f>
        <v>625275900</v>
      </c>
      <c r="H509" s="42"/>
    </row>
    <row r="510" spans="1:771 1026:1795 2050:2819 3074:3843 4098:4867 5122:5891 6146:6915 7170:7939 8194:8963 9218:9987 10242:11011 11266:12035 12290:13059 13314:14083 14338:15107 15362:16131" s="166" customFormat="1" ht="55.8" x14ac:dyDescent="0.3">
      <c r="A510" s="167"/>
      <c r="B510" s="168" t="s">
        <v>1023</v>
      </c>
      <c r="C510" s="48" t="s">
        <v>38</v>
      </c>
      <c r="D510" s="76" t="s">
        <v>13</v>
      </c>
      <c r="E510" s="73">
        <v>32.1</v>
      </c>
      <c r="F510" s="161">
        <v>19479000</v>
      </c>
      <c r="G510" s="40">
        <f>E510*F510</f>
        <v>625275900</v>
      </c>
      <c r="H510" s="42"/>
    </row>
    <row r="511" spans="1:771 1026:1795 2050:2819 3074:3843 4098:4867 5122:5891 6146:6915 7170:7939 8194:8963 9218:9987 10242:11011 11266:12035 12290:13059 13314:14083 14338:15107 15362:16131" s="166" customFormat="1" x14ac:dyDescent="0.25">
      <c r="A511" s="167"/>
      <c r="B511" s="169" t="s">
        <v>448</v>
      </c>
      <c r="C511" s="47" t="s">
        <v>35</v>
      </c>
      <c r="D511" s="76"/>
      <c r="E511" s="73"/>
      <c r="F511" s="74"/>
      <c r="G511" s="41">
        <f>SUM(G512:G514)</f>
        <v>51121389.600000001</v>
      </c>
      <c r="H511" s="45"/>
    </row>
    <row r="512" spans="1:771 1026:1795 2050:2819 3074:3843 4098:4867 5122:5891 6146:6915 7170:7939 8194:8963 9218:9987 10242:11011 11266:12035 12290:13059 13314:14083 14338:15107 15362:16131" s="166" customFormat="1" ht="109.2" x14ac:dyDescent="0.25">
      <c r="A512" s="167"/>
      <c r="B512" s="169"/>
      <c r="C512" s="66" t="s">
        <v>1024</v>
      </c>
      <c r="D512" s="76" t="s">
        <v>891</v>
      </c>
      <c r="E512" s="73">
        <v>25.896000000000001</v>
      </c>
      <c r="F512" s="74">
        <f>4594000*40%</f>
        <v>1837600</v>
      </c>
      <c r="G512" s="40">
        <f>E512*F512</f>
        <v>47586489.600000001</v>
      </c>
      <c r="H512" s="45" t="s">
        <v>2400</v>
      </c>
    </row>
    <row r="513" spans="1:771 1026:1795 2050:2819 3074:3843 4098:4867 5122:5891 6146:6915 7170:7939 8194:8963 9218:9987 10242:11011 11266:12035 12290:13059 13314:14083 14338:15107 15362:16131" s="166" customFormat="1" ht="46.8" x14ac:dyDescent="0.25">
      <c r="A513" s="167"/>
      <c r="B513" s="169"/>
      <c r="C513" s="66" t="s">
        <v>1025</v>
      </c>
      <c r="D513" s="76" t="s">
        <v>891</v>
      </c>
      <c r="E513" s="73">
        <v>7.22</v>
      </c>
      <c r="F513" s="74">
        <f>540000*40%</f>
        <v>216000</v>
      </c>
      <c r="G513" s="40">
        <f>E513*F513</f>
        <v>1559520</v>
      </c>
      <c r="H513" s="45" t="s">
        <v>2374</v>
      </c>
    </row>
    <row r="514" spans="1:771 1026:1795 2050:2819 3074:3843 4098:4867 5122:5891 6146:6915 7170:7939 8194:8963 9218:9987 10242:11011 11266:12035 12290:13059 13314:14083 14338:15107 15362:16131" s="166" customFormat="1" x14ac:dyDescent="0.25">
      <c r="A514" s="170"/>
      <c r="B514" s="171"/>
      <c r="C514" s="82" t="s">
        <v>900</v>
      </c>
      <c r="D514" s="83" t="s">
        <v>891</v>
      </c>
      <c r="E514" s="84">
        <v>48.18</v>
      </c>
      <c r="F514" s="57">
        <v>41000</v>
      </c>
      <c r="G514" s="57">
        <f>E514*F514</f>
        <v>1975380</v>
      </c>
      <c r="H514" s="85"/>
    </row>
    <row r="515" spans="1:771 1026:1795 2050:2819 3074:3843 4098:4867 5122:5891 6146:6915 7170:7939 8194:8963 9218:9987 10242:11011 11266:12035 12290:13059 13314:14083 14338:15107 15362:16131" s="35" customFormat="1" ht="65.400000000000006" thickBot="1" x14ac:dyDescent="0.35">
      <c r="A515" s="53"/>
      <c r="B515" s="54"/>
      <c r="C515" s="55" t="s">
        <v>2331</v>
      </c>
      <c r="D515" s="56"/>
      <c r="E515" s="5"/>
      <c r="F515" s="6"/>
      <c r="G515" s="57"/>
      <c r="H515" s="58"/>
    </row>
    <row r="516" spans="1:771 1026:1795 2050:2819 3074:3843 4098:4867 5122:5891 6146:6915 7170:7939 8194:8963 9218:9987 10242:11011 11266:12035 12290:13059 13314:14083 14338:15107 15362:16131" s="172" customFormat="1" ht="31.8" thickBot="1" x14ac:dyDescent="0.3">
      <c r="A516" s="154"/>
      <c r="B516" s="155" t="s">
        <v>26</v>
      </c>
      <c r="C516" s="156"/>
      <c r="D516" s="154"/>
      <c r="E516" s="157"/>
      <c r="F516" s="158"/>
      <c r="G516" s="159">
        <f>SUM(G508:G515)/2</f>
        <v>676397289.5999999</v>
      </c>
      <c r="H516" s="160"/>
      <c r="IX516" s="166"/>
      <c r="IY516" s="166"/>
      <c r="ST516" s="166"/>
      <c r="SU516" s="166"/>
      <c r="ACP516" s="166"/>
      <c r="ACQ516" s="166"/>
      <c r="AML516" s="166"/>
      <c r="AMM516" s="166"/>
      <c r="AWH516" s="166"/>
      <c r="AWI516" s="166"/>
      <c r="BGD516" s="166"/>
      <c r="BGE516" s="166"/>
      <c r="BPZ516" s="166"/>
      <c r="BQA516" s="166"/>
      <c r="BZV516" s="166"/>
      <c r="BZW516" s="166"/>
      <c r="CJR516" s="166"/>
      <c r="CJS516" s="166"/>
      <c r="CTN516" s="166"/>
      <c r="CTO516" s="166"/>
      <c r="DDJ516" s="166"/>
      <c r="DDK516" s="166"/>
      <c r="DNF516" s="166"/>
      <c r="DNG516" s="166"/>
      <c r="DXB516" s="166"/>
      <c r="DXC516" s="166"/>
      <c r="EGX516" s="166"/>
      <c r="EGY516" s="166"/>
      <c r="EQT516" s="166"/>
      <c r="EQU516" s="166"/>
      <c r="FAP516" s="166"/>
      <c r="FAQ516" s="166"/>
      <c r="FKL516" s="166"/>
      <c r="FKM516" s="166"/>
      <c r="FUH516" s="166"/>
      <c r="FUI516" s="166"/>
      <c r="GED516" s="166"/>
      <c r="GEE516" s="166"/>
      <c r="GNZ516" s="166"/>
      <c r="GOA516" s="166"/>
      <c r="GXV516" s="166"/>
      <c r="GXW516" s="166"/>
      <c r="HHR516" s="166"/>
      <c r="HHS516" s="166"/>
      <c r="HRN516" s="166"/>
      <c r="HRO516" s="166"/>
      <c r="IBJ516" s="166"/>
      <c r="IBK516" s="166"/>
      <c r="ILF516" s="166"/>
      <c r="ILG516" s="166"/>
      <c r="IVB516" s="166"/>
      <c r="IVC516" s="166"/>
      <c r="JEX516" s="166"/>
      <c r="JEY516" s="166"/>
      <c r="JOT516" s="166"/>
      <c r="JOU516" s="166"/>
      <c r="JYP516" s="166"/>
      <c r="JYQ516" s="166"/>
      <c r="KIL516" s="166"/>
      <c r="KIM516" s="166"/>
      <c r="KSH516" s="166"/>
      <c r="KSI516" s="166"/>
      <c r="LCD516" s="166"/>
      <c r="LCE516" s="166"/>
      <c r="LLZ516" s="166"/>
      <c r="LMA516" s="166"/>
      <c r="LVV516" s="166"/>
      <c r="LVW516" s="166"/>
      <c r="MFR516" s="166"/>
      <c r="MFS516" s="166"/>
      <c r="MPN516" s="166"/>
      <c r="MPO516" s="166"/>
      <c r="MZJ516" s="166"/>
      <c r="MZK516" s="166"/>
      <c r="NJF516" s="166"/>
      <c r="NJG516" s="166"/>
      <c r="NTB516" s="166"/>
      <c r="NTC516" s="166"/>
      <c r="OCX516" s="166"/>
      <c r="OCY516" s="166"/>
      <c r="OMT516" s="166"/>
      <c r="OMU516" s="166"/>
      <c r="OWP516" s="166"/>
      <c r="OWQ516" s="166"/>
      <c r="PGL516" s="166"/>
      <c r="PGM516" s="166"/>
      <c r="PQH516" s="166"/>
      <c r="PQI516" s="166"/>
      <c r="QAD516" s="166"/>
      <c r="QAE516" s="166"/>
      <c r="QJZ516" s="166"/>
      <c r="QKA516" s="166"/>
      <c r="QTV516" s="166"/>
      <c r="QTW516" s="166"/>
      <c r="RDR516" s="166"/>
      <c r="RDS516" s="166"/>
      <c r="RNN516" s="166"/>
      <c r="RNO516" s="166"/>
      <c r="RXJ516" s="166"/>
      <c r="RXK516" s="166"/>
      <c r="SHF516" s="166"/>
      <c r="SHG516" s="166"/>
      <c r="SRB516" s="166"/>
      <c r="SRC516" s="166"/>
      <c r="TAX516" s="166"/>
      <c r="TAY516" s="166"/>
      <c r="TKT516" s="166"/>
      <c r="TKU516" s="166"/>
      <c r="TUP516" s="166"/>
      <c r="TUQ516" s="166"/>
      <c r="UEL516" s="166"/>
      <c r="UEM516" s="166"/>
      <c r="UOH516" s="166"/>
      <c r="UOI516" s="166"/>
      <c r="UYD516" s="166"/>
      <c r="UYE516" s="166"/>
      <c r="VHZ516" s="166"/>
      <c r="VIA516" s="166"/>
      <c r="VRV516" s="166"/>
      <c r="VRW516" s="166"/>
      <c r="WBR516" s="166"/>
      <c r="WBS516" s="166"/>
      <c r="WLN516" s="166"/>
      <c r="WLO516" s="166"/>
      <c r="WVJ516" s="166"/>
      <c r="WVK516" s="166"/>
    </row>
    <row r="517" spans="1:771 1026:1795 2050:2819 3074:3843 4098:4867 5122:5891 6146:6915 7170:7939 8194:8963 9218:9987 10242:11011 11266:12035 12290:13059 13314:14083 14338:15107 15362:16131" s="35" customFormat="1" ht="110.4" x14ac:dyDescent="0.3">
      <c r="A517" s="28">
        <v>43</v>
      </c>
      <c r="B517" s="29" t="s">
        <v>454</v>
      </c>
      <c r="C517" s="30" t="s">
        <v>452</v>
      </c>
      <c r="D517" s="31" t="s">
        <v>13</v>
      </c>
      <c r="E517" s="32">
        <v>16</v>
      </c>
      <c r="F517" s="33"/>
      <c r="G517" s="33"/>
      <c r="H517" s="34" t="s">
        <v>453</v>
      </c>
    </row>
    <row r="518" spans="1:771 1026:1795 2050:2819 3074:3843 4098:4867 5122:5891 6146:6915 7170:7939 8194:8963 9218:9987 10242:11011 11266:12035 12290:13059 13314:14083 14338:15107 15362:16131" s="35" customFormat="1" x14ac:dyDescent="0.3">
      <c r="A518" s="36"/>
      <c r="B518" s="72" t="s">
        <v>451</v>
      </c>
      <c r="C518" s="38" t="s">
        <v>14</v>
      </c>
      <c r="D518" s="39"/>
      <c r="E518" s="44"/>
      <c r="F518" s="40"/>
      <c r="G518" s="41">
        <f>SUM(G519)</f>
        <v>311664000</v>
      </c>
      <c r="H518" s="42"/>
    </row>
    <row r="519" spans="1:771 1026:1795 2050:2819 3074:3843 4098:4867 5122:5891 6146:6915 7170:7939 8194:8963 9218:9987 10242:11011 11266:12035 12290:13059 13314:14083 14338:15107 15362:16131" s="35" customFormat="1" ht="78" x14ac:dyDescent="0.3">
      <c r="A519" s="36"/>
      <c r="B519" s="72" t="s">
        <v>450</v>
      </c>
      <c r="C519" s="48" t="s">
        <v>38</v>
      </c>
      <c r="D519" s="39" t="s">
        <v>13</v>
      </c>
      <c r="E519" s="44">
        <v>16</v>
      </c>
      <c r="F519" s="161">
        <v>19479000</v>
      </c>
      <c r="G519" s="40">
        <f>E519*F519</f>
        <v>311664000</v>
      </c>
      <c r="H519" s="42"/>
    </row>
    <row r="520" spans="1:771 1026:1795 2050:2819 3074:3843 4098:4867 5122:5891 6146:6915 7170:7939 8194:8963 9218:9987 10242:11011 11266:12035 12290:13059 13314:14083 14338:15107 15362:16131" s="35" customFormat="1" x14ac:dyDescent="0.3">
      <c r="A520" s="36"/>
      <c r="B520" s="50"/>
      <c r="C520" s="47" t="s">
        <v>35</v>
      </c>
      <c r="D520" s="39"/>
      <c r="E520" s="44"/>
      <c r="F520" s="40"/>
      <c r="G520" s="41">
        <f>SUM(G521:G523)</f>
        <v>19516686.399999999</v>
      </c>
      <c r="H520" s="45"/>
    </row>
    <row r="521" spans="1:771 1026:1795 2050:2819 3074:3843 4098:4867 5122:5891 6146:6915 7170:7939 8194:8963 9218:9987 10242:11011 11266:12035 12290:13059 13314:14083 14338:15107 15362:16131" s="35" customFormat="1" ht="93.6" x14ac:dyDescent="0.3">
      <c r="A521" s="36"/>
      <c r="B521" s="46"/>
      <c r="C521" s="48" t="s">
        <v>455</v>
      </c>
      <c r="D521" s="39" t="s">
        <v>234</v>
      </c>
      <c r="E521" s="44">
        <f>((1.45+1.2)*8)/2</f>
        <v>10.6</v>
      </c>
      <c r="F521" s="40">
        <f>3592000*40%</f>
        <v>1436800</v>
      </c>
      <c r="G521" s="40">
        <f>E521*F521</f>
        <v>15230080</v>
      </c>
      <c r="H521" s="42" t="s">
        <v>2401</v>
      </c>
    </row>
    <row r="522" spans="1:771 1026:1795 2050:2819 3074:3843 4098:4867 5122:5891 6146:6915 7170:7939 8194:8963 9218:9987 10242:11011 11266:12035 12290:13059 13314:14083 14338:15107 15362:16131" s="35" customFormat="1" x14ac:dyDescent="0.3">
      <c r="A522" s="36"/>
      <c r="B522" s="46"/>
      <c r="C522" s="48" t="s">
        <v>456</v>
      </c>
      <c r="D522" s="39" t="s">
        <v>234</v>
      </c>
      <c r="E522" s="44">
        <f>(3.15*3.94)+(2.4*3.15)</f>
        <v>19.971</v>
      </c>
      <c r="F522" s="40">
        <f>396000*40%</f>
        <v>158400</v>
      </c>
      <c r="G522" s="40">
        <f>E522*F522</f>
        <v>3163406.4</v>
      </c>
      <c r="H522" s="52" t="s">
        <v>2374</v>
      </c>
    </row>
    <row r="523" spans="1:771 1026:1795 2050:2819 3074:3843 4098:4867 5122:5891 6146:6915 7170:7939 8194:8963 9218:9987 10242:11011 11266:12035 12290:13059 13314:14083 14338:15107 15362:16131" s="35" customFormat="1" ht="31.2" x14ac:dyDescent="0.3">
      <c r="A523" s="36"/>
      <c r="B523" s="46"/>
      <c r="C523" s="48" t="s">
        <v>457</v>
      </c>
      <c r="D523" s="39" t="s">
        <v>234</v>
      </c>
      <c r="E523" s="44">
        <f>((0.5+0.8)*8)/2</f>
        <v>5.2</v>
      </c>
      <c r="F523" s="40">
        <f>540000*40%</f>
        <v>216000</v>
      </c>
      <c r="G523" s="40">
        <f>E523*F523</f>
        <v>1123200</v>
      </c>
      <c r="H523" s="52" t="s">
        <v>2374</v>
      </c>
    </row>
    <row r="524" spans="1:771 1026:1795 2050:2819 3074:3843 4098:4867 5122:5891 6146:6915 7170:7939 8194:8963 9218:9987 10242:11011 11266:12035 12290:13059 13314:14083 14338:15107 15362:16131" s="35" customFormat="1" ht="65.400000000000006" thickBot="1" x14ac:dyDescent="0.35">
      <c r="A524" s="53"/>
      <c r="B524" s="54"/>
      <c r="C524" s="55" t="s">
        <v>2331</v>
      </c>
      <c r="D524" s="56"/>
      <c r="E524" s="5"/>
      <c r="F524" s="6"/>
      <c r="G524" s="57"/>
      <c r="H524" s="58"/>
    </row>
    <row r="525" spans="1:771 1026:1795 2050:2819 3074:3843 4098:4867 5122:5891 6146:6915 7170:7939 8194:8963 9218:9987 10242:11011 11266:12035 12290:13059 13314:14083 14338:15107 15362:16131" s="59" customFormat="1" ht="31.8" thickBot="1" x14ac:dyDescent="0.35">
      <c r="A525" s="154"/>
      <c r="B525" s="155" t="s">
        <v>26</v>
      </c>
      <c r="C525" s="156"/>
      <c r="D525" s="154"/>
      <c r="E525" s="157"/>
      <c r="F525" s="158"/>
      <c r="G525" s="159">
        <f>SUM(G517:G524)/2</f>
        <v>331180686.39999998</v>
      </c>
      <c r="H525" s="160"/>
      <c r="IX525" s="35"/>
      <c r="IY525" s="35"/>
      <c r="ST525" s="35"/>
      <c r="SU525" s="35"/>
      <c r="ACP525" s="35"/>
      <c r="ACQ525" s="35"/>
      <c r="AML525" s="35"/>
      <c r="AMM525" s="35"/>
      <c r="AWH525" s="35"/>
      <c r="AWI525" s="35"/>
      <c r="BGD525" s="35"/>
      <c r="BGE525" s="35"/>
      <c r="BPZ525" s="35"/>
      <c r="BQA525" s="35"/>
      <c r="BZV525" s="35"/>
      <c r="BZW525" s="35"/>
      <c r="CJR525" s="35"/>
      <c r="CJS525" s="35"/>
      <c r="CTN525" s="35"/>
      <c r="CTO525" s="35"/>
      <c r="DDJ525" s="35"/>
      <c r="DDK525" s="35"/>
      <c r="DNF525" s="35"/>
      <c r="DNG525" s="35"/>
      <c r="DXB525" s="35"/>
      <c r="DXC525" s="35"/>
      <c r="EGX525" s="35"/>
      <c r="EGY525" s="35"/>
      <c r="EQT525" s="35"/>
      <c r="EQU525" s="35"/>
      <c r="FAP525" s="35"/>
      <c r="FAQ525" s="35"/>
      <c r="FKL525" s="35"/>
      <c r="FKM525" s="35"/>
      <c r="FUH525" s="35"/>
      <c r="FUI525" s="35"/>
      <c r="GED525" s="35"/>
      <c r="GEE525" s="35"/>
      <c r="GNZ525" s="35"/>
      <c r="GOA525" s="35"/>
      <c r="GXV525" s="35"/>
      <c r="GXW525" s="35"/>
      <c r="HHR525" s="35"/>
      <c r="HHS525" s="35"/>
      <c r="HRN525" s="35"/>
      <c r="HRO525" s="35"/>
      <c r="IBJ525" s="35"/>
      <c r="IBK525" s="35"/>
      <c r="ILF525" s="35"/>
      <c r="ILG525" s="35"/>
      <c r="IVB525" s="35"/>
      <c r="IVC525" s="35"/>
      <c r="JEX525" s="35"/>
      <c r="JEY525" s="35"/>
      <c r="JOT525" s="35"/>
      <c r="JOU525" s="35"/>
      <c r="JYP525" s="35"/>
      <c r="JYQ525" s="35"/>
      <c r="KIL525" s="35"/>
      <c r="KIM525" s="35"/>
      <c r="KSH525" s="35"/>
      <c r="KSI525" s="35"/>
      <c r="LCD525" s="35"/>
      <c r="LCE525" s="35"/>
      <c r="LLZ525" s="35"/>
      <c r="LMA525" s="35"/>
      <c r="LVV525" s="35"/>
      <c r="LVW525" s="35"/>
      <c r="MFR525" s="35"/>
      <c r="MFS525" s="35"/>
      <c r="MPN525" s="35"/>
      <c r="MPO525" s="35"/>
      <c r="MZJ525" s="35"/>
      <c r="MZK525" s="35"/>
      <c r="NJF525" s="35"/>
      <c r="NJG525" s="35"/>
      <c r="NTB525" s="35"/>
      <c r="NTC525" s="35"/>
      <c r="OCX525" s="35"/>
      <c r="OCY525" s="35"/>
      <c r="OMT525" s="35"/>
      <c r="OMU525" s="35"/>
      <c r="OWP525" s="35"/>
      <c r="OWQ525" s="35"/>
      <c r="PGL525" s="35"/>
      <c r="PGM525" s="35"/>
      <c r="PQH525" s="35"/>
      <c r="PQI525" s="35"/>
      <c r="QAD525" s="35"/>
      <c r="QAE525" s="35"/>
      <c r="QJZ525" s="35"/>
      <c r="QKA525" s="35"/>
      <c r="QTV525" s="35"/>
      <c r="QTW525" s="35"/>
      <c r="RDR525" s="35"/>
      <c r="RDS525" s="35"/>
      <c r="RNN525" s="35"/>
      <c r="RNO525" s="35"/>
      <c r="RXJ525" s="35"/>
      <c r="RXK525" s="35"/>
      <c r="SHF525" s="35"/>
      <c r="SHG525" s="35"/>
      <c r="SRB525" s="35"/>
      <c r="SRC525" s="35"/>
      <c r="TAX525" s="35"/>
      <c r="TAY525" s="35"/>
      <c r="TKT525" s="35"/>
      <c r="TKU525" s="35"/>
      <c r="TUP525" s="35"/>
      <c r="TUQ525" s="35"/>
      <c r="UEL525" s="35"/>
      <c r="UEM525" s="35"/>
      <c r="UOH525" s="35"/>
      <c r="UOI525" s="35"/>
      <c r="UYD525" s="35"/>
      <c r="UYE525" s="35"/>
      <c r="VHZ525" s="35"/>
      <c r="VIA525" s="35"/>
      <c r="VRV525" s="35"/>
      <c r="VRW525" s="35"/>
      <c r="WBR525" s="35"/>
      <c r="WBS525" s="35"/>
      <c r="WLN525" s="35"/>
      <c r="WLO525" s="35"/>
      <c r="WVJ525" s="35"/>
      <c r="WVK525" s="35"/>
    </row>
    <row r="526" spans="1:771 1026:1795 2050:2819 3074:3843 4098:4867 5122:5891 6146:6915 7170:7939 8194:8963 9218:9987 10242:11011 11266:12035 12290:13059 13314:14083 14338:15107 15362:16131" s="35" customFormat="1" ht="55.2" x14ac:dyDescent="0.3">
      <c r="A526" s="28">
        <v>44</v>
      </c>
      <c r="B526" s="29" t="s">
        <v>458</v>
      </c>
      <c r="C526" s="30" t="s">
        <v>2120</v>
      </c>
      <c r="D526" s="31" t="s">
        <v>13</v>
      </c>
      <c r="E526" s="32">
        <v>8</v>
      </c>
      <c r="F526" s="33"/>
      <c r="G526" s="33"/>
      <c r="H526" s="34" t="s">
        <v>462</v>
      </c>
    </row>
    <row r="527" spans="1:771 1026:1795 2050:2819 3074:3843 4098:4867 5122:5891 6146:6915 7170:7939 8194:8963 9218:9987 10242:11011 11266:12035 12290:13059 13314:14083 14338:15107 15362:16131" s="35" customFormat="1" x14ac:dyDescent="0.3">
      <c r="A527" s="36"/>
      <c r="B527" s="72" t="s">
        <v>459</v>
      </c>
      <c r="C527" s="38" t="s">
        <v>14</v>
      </c>
      <c r="D527" s="39"/>
      <c r="E527" s="44"/>
      <c r="F527" s="40"/>
      <c r="G527" s="41">
        <f>SUM(G528)</f>
        <v>155832000</v>
      </c>
      <c r="H527" s="42"/>
    </row>
    <row r="528" spans="1:771 1026:1795 2050:2819 3074:3843 4098:4867 5122:5891 6146:6915 7170:7939 8194:8963 9218:9987 10242:11011 11266:12035 12290:13059 13314:14083 14338:15107 15362:16131" s="35" customFormat="1" ht="62.4" x14ac:dyDescent="0.3">
      <c r="A528" s="36"/>
      <c r="B528" s="72" t="s">
        <v>460</v>
      </c>
      <c r="C528" s="48" t="s">
        <v>38</v>
      </c>
      <c r="D528" s="39" t="s">
        <v>13</v>
      </c>
      <c r="E528" s="44">
        <v>8</v>
      </c>
      <c r="F528" s="161">
        <v>19479000</v>
      </c>
      <c r="G528" s="40">
        <f>E528*F528</f>
        <v>155832000</v>
      </c>
      <c r="H528" s="42"/>
    </row>
    <row r="529" spans="1:771 1026:1795 2050:2819 3074:3843 4098:4867 5122:5891 6146:6915 7170:7939 8194:8963 9218:9987 10242:11011 11266:12035 12290:13059 13314:14083 14338:15107 15362:16131" s="35" customFormat="1" x14ac:dyDescent="0.3">
      <c r="A529" s="36"/>
      <c r="B529" s="72" t="s">
        <v>461</v>
      </c>
      <c r="C529" s="47" t="s">
        <v>35</v>
      </c>
      <c r="D529" s="39"/>
      <c r="E529" s="44"/>
      <c r="F529" s="40"/>
      <c r="G529" s="41">
        <f>SUM(G530)</f>
        <v>1728000</v>
      </c>
      <c r="H529" s="45"/>
    </row>
    <row r="530" spans="1:771 1026:1795 2050:2819 3074:3843 4098:4867 5122:5891 6146:6915 7170:7939 8194:8963 9218:9987 10242:11011 11266:12035 12290:13059 13314:14083 14338:15107 15362:16131" s="35" customFormat="1" ht="41.4" x14ac:dyDescent="0.3">
      <c r="A530" s="36"/>
      <c r="B530" s="46"/>
      <c r="C530" s="48" t="s">
        <v>463</v>
      </c>
      <c r="D530" s="39" t="s">
        <v>234</v>
      </c>
      <c r="E530" s="44">
        <v>8</v>
      </c>
      <c r="F530" s="40">
        <f>540000*40%</f>
        <v>216000</v>
      </c>
      <c r="G530" s="40">
        <f>E530*F530</f>
        <v>1728000</v>
      </c>
      <c r="H530" s="42" t="s">
        <v>2402</v>
      </c>
    </row>
    <row r="531" spans="1:771 1026:1795 2050:2819 3074:3843 4098:4867 5122:5891 6146:6915 7170:7939 8194:8963 9218:9987 10242:11011 11266:12035 12290:13059 13314:14083 14338:15107 15362:16131" s="35" customFormat="1" ht="65.400000000000006" thickBot="1" x14ac:dyDescent="0.35">
      <c r="A531" s="53"/>
      <c r="B531" s="54"/>
      <c r="C531" s="55" t="s">
        <v>2331</v>
      </c>
      <c r="D531" s="56"/>
      <c r="E531" s="5"/>
      <c r="F531" s="6"/>
      <c r="G531" s="57"/>
      <c r="H531" s="58"/>
    </row>
    <row r="532" spans="1:771 1026:1795 2050:2819 3074:3843 4098:4867 5122:5891 6146:6915 7170:7939 8194:8963 9218:9987 10242:11011 11266:12035 12290:13059 13314:14083 14338:15107 15362:16131" s="59" customFormat="1" ht="31.8" thickBot="1" x14ac:dyDescent="0.35">
      <c r="A532" s="154"/>
      <c r="B532" s="155" t="s">
        <v>26</v>
      </c>
      <c r="C532" s="156"/>
      <c r="D532" s="154"/>
      <c r="E532" s="157"/>
      <c r="F532" s="158"/>
      <c r="G532" s="159">
        <f>SUM(G526:G531)/2</f>
        <v>157560000</v>
      </c>
      <c r="H532" s="160"/>
      <c r="IX532" s="35"/>
      <c r="IY532" s="35"/>
      <c r="ST532" s="35"/>
      <c r="SU532" s="35"/>
      <c r="ACP532" s="35"/>
      <c r="ACQ532" s="35"/>
      <c r="AML532" s="35"/>
      <c r="AMM532" s="35"/>
      <c r="AWH532" s="35"/>
      <c r="AWI532" s="35"/>
      <c r="BGD532" s="35"/>
      <c r="BGE532" s="35"/>
      <c r="BPZ532" s="35"/>
      <c r="BQA532" s="35"/>
      <c r="BZV532" s="35"/>
      <c r="BZW532" s="35"/>
      <c r="CJR532" s="35"/>
      <c r="CJS532" s="35"/>
      <c r="CTN532" s="35"/>
      <c r="CTO532" s="35"/>
      <c r="DDJ532" s="35"/>
      <c r="DDK532" s="35"/>
      <c r="DNF532" s="35"/>
      <c r="DNG532" s="35"/>
      <c r="DXB532" s="35"/>
      <c r="DXC532" s="35"/>
      <c r="EGX532" s="35"/>
      <c r="EGY532" s="35"/>
      <c r="EQT532" s="35"/>
      <c r="EQU532" s="35"/>
      <c r="FAP532" s="35"/>
      <c r="FAQ532" s="35"/>
      <c r="FKL532" s="35"/>
      <c r="FKM532" s="35"/>
      <c r="FUH532" s="35"/>
      <c r="FUI532" s="35"/>
      <c r="GED532" s="35"/>
      <c r="GEE532" s="35"/>
      <c r="GNZ532" s="35"/>
      <c r="GOA532" s="35"/>
      <c r="GXV532" s="35"/>
      <c r="GXW532" s="35"/>
      <c r="HHR532" s="35"/>
      <c r="HHS532" s="35"/>
      <c r="HRN532" s="35"/>
      <c r="HRO532" s="35"/>
      <c r="IBJ532" s="35"/>
      <c r="IBK532" s="35"/>
      <c r="ILF532" s="35"/>
      <c r="ILG532" s="35"/>
      <c r="IVB532" s="35"/>
      <c r="IVC532" s="35"/>
      <c r="JEX532" s="35"/>
      <c r="JEY532" s="35"/>
      <c r="JOT532" s="35"/>
      <c r="JOU532" s="35"/>
      <c r="JYP532" s="35"/>
      <c r="JYQ532" s="35"/>
      <c r="KIL532" s="35"/>
      <c r="KIM532" s="35"/>
      <c r="KSH532" s="35"/>
      <c r="KSI532" s="35"/>
      <c r="LCD532" s="35"/>
      <c r="LCE532" s="35"/>
      <c r="LLZ532" s="35"/>
      <c r="LMA532" s="35"/>
      <c r="LVV532" s="35"/>
      <c r="LVW532" s="35"/>
      <c r="MFR532" s="35"/>
      <c r="MFS532" s="35"/>
      <c r="MPN532" s="35"/>
      <c r="MPO532" s="35"/>
      <c r="MZJ532" s="35"/>
      <c r="MZK532" s="35"/>
      <c r="NJF532" s="35"/>
      <c r="NJG532" s="35"/>
      <c r="NTB532" s="35"/>
      <c r="NTC532" s="35"/>
      <c r="OCX532" s="35"/>
      <c r="OCY532" s="35"/>
      <c r="OMT532" s="35"/>
      <c r="OMU532" s="35"/>
      <c r="OWP532" s="35"/>
      <c r="OWQ532" s="35"/>
      <c r="PGL532" s="35"/>
      <c r="PGM532" s="35"/>
      <c r="PQH532" s="35"/>
      <c r="PQI532" s="35"/>
      <c r="QAD532" s="35"/>
      <c r="QAE532" s="35"/>
      <c r="QJZ532" s="35"/>
      <c r="QKA532" s="35"/>
      <c r="QTV532" s="35"/>
      <c r="QTW532" s="35"/>
      <c r="RDR532" s="35"/>
      <c r="RDS532" s="35"/>
      <c r="RNN532" s="35"/>
      <c r="RNO532" s="35"/>
      <c r="RXJ532" s="35"/>
      <c r="RXK532" s="35"/>
      <c r="SHF532" s="35"/>
      <c r="SHG532" s="35"/>
      <c r="SRB532" s="35"/>
      <c r="SRC532" s="35"/>
      <c r="TAX532" s="35"/>
      <c r="TAY532" s="35"/>
      <c r="TKT532" s="35"/>
      <c r="TKU532" s="35"/>
      <c r="TUP532" s="35"/>
      <c r="TUQ532" s="35"/>
      <c r="UEL532" s="35"/>
      <c r="UEM532" s="35"/>
      <c r="UOH532" s="35"/>
      <c r="UOI532" s="35"/>
      <c r="UYD532" s="35"/>
      <c r="UYE532" s="35"/>
      <c r="VHZ532" s="35"/>
      <c r="VIA532" s="35"/>
      <c r="VRV532" s="35"/>
      <c r="VRW532" s="35"/>
      <c r="WBR532" s="35"/>
      <c r="WBS532" s="35"/>
      <c r="WLN532" s="35"/>
      <c r="WLO532" s="35"/>
      <c r="WVJ532" s="35"/>
      <c r="WVK532" s="35"/>
    </row>
    <row r="533" spans="1:771 1026:1795 2050:2819 3074:3843 4098:4867 5122:5891 6146:6915 7170:7939 8194:8963 9218:9987 10242:11011 11266:12035 12290:13059 13314:14083 14338:15107 15362:16131" s="35" customFormat="1" ht="69" x14ac:dyDescent="0.3">
      <c r="A533" s="28">
        <v>45</v>
      </c>
      <c r="B533" s="29" t="s">
        <v>464</v>
      </c>
      <c r="C533" s="30" t="s">
        <v>467</v>
      </c>
      <c r="D533" s="31" t="s">
        <v>13</v>
      </c>
      <c r="E533" s="32">
        <v>8</v>
      </c>
      <c r="F533" s="33"/>
      <c r="G533" s="33"/>
      <c r="H533" s="34" t="s">
        <v>2170</v>
      </c>
    </row>
    <row r="534" spans="1:771 1026:1795 2050:2819 3074:3843 4098:4867 5122:5891 6146:6915 7170:7939 8194:8963 9218:9987 10242:11011 11266:12035 12290:13059 13314:14083 14338:15107 15362:16131" s="35" customFormat="1" x14ac:dyDescent="0.3">
      <c r="A534" s="36"/>
      <c r="B534" s="72" t="s">
        <v>465</v>
      </c>
      <c r="C534" s="38" t="s">
        <v>14</v>
      </c>
      <c r="D534" s="39"/>
      <c r="E534" s="44"/>
      <c r="F534" s="40"/>
      <c r="G534" s="41">
        <f>SUM(G535)</f>
        <v>155832000</v>
      </c>
      <c r="H534" s="42"/>
    </row>
    <row r="535" spans="1:771 1026:1795 2050:2819 3074:3843 4098:4867 5122:5891 6146:6915 7170:7939 8194:8963 9218:9987 10242:11011 11266:12035 12290:13059 13314:14083 14338:15107 15362:16131" s="35" customFormat="1" ht="46.8" x14ac:dyDescent="0.3">
      <c r="A535" s="36"/>
      <c r="B535" s="72" t="s">
        <v>466</v>
      </c>
      <c r="C535" s="48" t="s">
        <v>38</v>
      </c>
      <c r="D535" s="39" t="s">
        <v>13</v>
      </c>
      <c r="E535" s="73">
        <v>8</v>
      </c>
      <c r="F535" s="161">
        <v>19479000</v>
      </c>
      <c r="G535" s="40">
        <f>E535*F535</f>
        <v>155832000</v>
      </c>
      <c r="H535" s="42"/>
    </row>
    <row r="536" spans="1:771 1026:1795 2050:2819 3074:3843 4098:4867 5122:5891 6146:6915 7170:7939 8194:8963 9218:9987 10242:11011 11266:12035 12290:13059 13314:14083 14338:15107 15362:16131" s="35" customFormat="1" x14ac:dyDescent="0.3">
      <c r="A536" s="36"/>
      <c r="B536" s="50"/>
      <c r="C536" s="47" t="s">
        <v>35</v>
      </c>
      <c r="D536" s="39"/>
      <c r="E536" s="73"/>
      <c r="F536" s="40"/>
      <c r="G536" s="41">
        <f>SUM(G537:G542)</f>
        <v>13831903.600000001</v>
      </c>
      <c r="H536" s="45"/>
    </row>
    <row r="537" spans="1:771 1026:1795 2050:2819 3074:3843 4098:4867 5122:5891 6146:6915 7170:7939 8194:8963 9218:9987 10242:11011 11266:12035 12290:13059 13314:14083 14338:15107 15362:16131" s="77" customFormat="1" x14ac:dyDescent="0.3">
      <c r="A537" s="36"/>
      <c r="B537" s="75"/>
      <c r="C537" s="66" t="s">
        <v>305</v>
      </c>
      <c r="D537" s="76" t="s">
        <v>234</v>
      </c>
      <c r="E537" s="73">
        <f>4*1.2</f>
        <v>4.8</v>
      </c>
      <c r="F537" s="40">
        <v>140000</v>
      </c>
      <c r="G537" s="40">
        <f>E537*F537</f>
        <v>672000</v>
      </c>
      <c r="H537" s="45"/>
    </row>
    <row r="538" spans="1:771 1026:1795 2050:2819 3074:3843 4098:4867 5122:5891 6146:6915 7170:7939 8194:8963 9218:9987 10242:11011 11266:12035 12290:13059 13314:14083 14338:15107 15362:16131" s="77" customFormat="1" x14ac:dyDescent="0.3">
      <c r="A538" s="36"/>
      <c r="B538" s="75"/>
      <c r="C538" s="66" t="s">
        <v>189</v>
      </c>
      <c r="D538" s="76" t="s">
        <v>231</v>
      </c>
      <c r="E538" s="73">
        <f>((0.65*3*0.2)*2)+(4*1.3*0.1)</f>
        <v>1.3000000000000003</v>
      </c>
      <c r="F538" s="40">
        <v>1421000</v>
      </c>
      <c r="G538" s="40">
        <f>E538*F538</f>
        <v>1847300.0000000005</v>
      </c>
      <c r="H538" s="45"/>
    </row>
    <row r="539" spans="1:771 1026:1795 2050:2819 3074:3843 4098:4867 5122:5891 6146:6915 7170:7939 8194:8963 9218:9987 10242:11011 11266:12035 12290:13059 13314:14083 14338:15107 15362:16131" s="77" customFormat="1" x14ac:dyDescent="0.3">
      <c r="A539" s="36"/>
      <c r="B539" s="75"/>
      <c r="C539" s="66" t="s">
        <v>190</v>
      </c>
      <c r="D539" s="76" t="s">
        <v>234</v>
      </c>
      <c r="E539" s="73">
        <f>((0.65*3)*2)+(0.2*3)+((2.7*0.4)*2)+(4*1.3)+(2.7*0.2)</f>
        <v>12.399999999999999</v>
      </c>
      <c r="F539" s="74">
        <v>107000</v>
      </c>
      <c r="G539" s="40">
        <f>E539*F539</f>
        <v>1326799.9999999998</v>
      </c>
      <c r="H539" s="45"/>
    </row>
    <row r="540" spans="1:771 1026:1795 2050:2819 3074:3843 4098:4867 5122:5891 6146:6915 7170:7939 8194:8963 9218:9987 10242:11011 11266:12035 12290:13059 13314:14083 14338:15107 15362:16131" s="77" customFormat="1" x14ac:dyDescent="0.3">
      <c r="A540" s="36"/>
      <c r="B540" s="75"/>
      <c r="C540" s="66" t="s">
        <v>468</v>
      </c>
      <c r="D540" s="76" t="s">
        <v>231</v>
      </c>
      <c r="E540" s="73">
        <f>2.7*0.42*0.2</f>
        <v>0.22680000000000003</v>
      </c>
      <c r="F540" s="74">
        <v>7627000</v>
      </c>
      <c r="G540" s="40">
        <f>E540*F540</f>
        <v>1729803.6000000003</v>
      </c>
      <c r="H540" s="45"/>
    </row>
    <row r="541" spans="1:771 1026:1795 2050:2819 3074:3843 4098:4867 5122:5891 6146:6915 7170:7939 8194:8963 9218:9987 10242:11011 11266:12035 12290:13059 13314:14083 14338:15107 15362:16131" s="77" customFormat="1" x14ac:dyDescent="0.3">
      <c r="A541" s="36"/>
      <c r="B541" s="75"/>
      <c r="C541" s="66" t="s">
        <v>469</v>
      </c>
      <c r="D541" s="76" t="s">
        <v>234</v>
      </c>
      <c r="E541" s="73">
        <f>8*4</f>
        <v>32</v>
      </c>
      <c r="F541" s="74">
        <v>258000</v>
      </c>
      <c r="G541" s="40">
        <f>E541*F541</f>
        <v>8256000</v>
      </c>
      <c r="H541" s="45"/>
    </row>
    <row r="542" spans="1:771 1026:1795 2050:2819 3074:3843 4098:4867 5122:5891 6146:6915 7170:7939 8194:8963 9218:9987 10242:11011 11266:12035 12290:13059 13314:14083 14338:15107 15362:16131" s="35" customFormat="1" ht="65.400000000000006" thickBot="1" x14ac:dyDescent="0.35">
      <c r="A542" s="53"/>
      <c r="B542" s="54"/>
      <c r="C542" s="55" t="s">
        <v>2331</v>
      </c>
      <c r="D542" s="56"/>
      <c r="E542" s="5"/>
      <c r="F542" s="6"/>
      <c r="G542" s="57"/>
      <c r="H542" s="58"/>
    </row>
    <row r="543" spans="1:771 1026:1795 2050:2819 3074:3843 4098:4867 5122:5891 6146:6915 7170:7939 8194:8963 9218:9987 10242:11011 11266:12035 12290:13059 13314:14083 14338:15107 15362:16131" s="59" customFormat="1" ht="31.8" thickBot="1" x14ac:dyDescent="0.35">
      <c r="A543" s="154"/>
      <c r="B543" s="155" t="s">
        <v>26</v>
      </c>
      <c r="C543" s="156"/>
      <c r="D543" s="154"/>
      <c r="E543" s="157"/>
      <c r="F543" s="158"/>
      <c r="G543" s="159">
        <f>SUM(G533:G542)/2</f>
        <v>169663903.60000002</v>
      </c>
      <c r="H543" s="160"/>
      <c r="IX543" s="35"/>
      <c r="IY543" s="35"/>
      <c r="ST543" s="35"/>
      <c r="SU543" s="35"/>
      <c r="ACP543" s="35"/>
      <c r="ACQ543" s="35"/>
      <c r="AML543" s="35"/>
      <c r="AMM543" s="35"/>
      <c r="AWH543" s="35"/>
      <c r="AWI543" s="35"/>
      <c r="BGD543" s="35"/>
      <c r="BGE543" s="35"/>
      <c r="BPZ543" s="35"/>
      <c r="BQA543" s="35"/>
      <c r="BZV543" s="35"/>
      <c r="BZW543" s="35"/>
      <c r="CJR543" s="35"/>
      <c r="CJS543" s="35"/>
      <c r="CTN543" s="35"/>
      <c r="CTO543" s="35"/>
      <c r="DDJ543" s="35"/>
      <c r="DDK543" s="35"/>
      <c r="DNF543" s="35"/>
      <c r="DNG543" s="35"/>
      <c r="DXB543" s="35"/>
      <c r="DXC543" s="35"/>
      <c r="EGX543" s="35"/>
      <c r="EGY543" s="35"/>
      <c r="EQT543" s="35"/>
      <c r="EQU543" s="35"/>
      <c r="FAP543" s="35"/>
      <c r="FAQ543" s="35"/>
      <c r="FKL543" s="35"/>
      <c r="FKM543" s="35"/>
      <c r="FUH543" s="35"/>
      <c r="FUI543" s="35"/>
      <c r="GED543" s="35"/>
      <c r="GEE543" s="35"/>
      <c r="GNZ543" s="35"/>
      <c r="GOA543" s="35"/>
      <c r="GXV543" s="35"/>
      <c r="GXW543" s="35"/>
      <c r="HHR543" s="35"/>
      <c r="HHS543" s="35"/>
      <c r="HRN543" s="35"/>
      <c r="HRO543" s="35"/>
      <c r="IBJ543" s="35"/>
      <c r="IBK543" s="35"/>
      <c r="ILF543" s="35"/>
      <c r="ILG543" s="35"/>
      <c r="IVB543" s="35"/>
      <c r="IVC543" s="35"/>
      <c r="JEX543" s="35"/>
      <c r="JEY543" s="35"/>
      <c r="JOT543" s="35"/>
      <c r="JOU543" s="35"/>
      <c r="JYP543" s="35"/>
      <c r="JYQ543" s="35"/>
      <c r="KIL543" s="35"/>
      <c r="KIM543" s="35"/>
      <c r="KSH543" s="35"/>
      <c r="KSI543" s="35"/>
      <c r="LCD543" s="35"/>
      <c r="LCE543" s="35"/>
      <c r="LLZ543" s="35"/>
      <c r="LMA543" s="35"/>
      <c r="LVV543" s="35"/>
      <c r="LVW543" s="35"/>
      <c r="MFR543" s="35"/>
      <c r="MFS543" s="35"/>
      <c r="MPN543" s="35"/>
      <c r="MPO543" s="35"/>
      <c r="MZJ543" s="35"/>
      <c r="MZK543" s="35"/>
      <c r="NJF543" s="35"/>
      <c r="NJG543" s="35"/>
      <c r="NTB543" s="35"/>
      <c r="NTC543" s="35"/>
      <c r="OCX543" s="35"/>
      <c r="OCY543" s="35"/>
      <c r="OMT543" s="35"/>
      <c r="OMU543" s="35"/>
      <c r="OWP543" s="35"/>
      <c r="OWQ543" s="35"/>
      <c r="PGL543" s="35"/>
      <c r="PGM543" s="35"/>
      <c r="PQH543" s="35"/>
      <c r="PQI543" s="35"/>
      <c r="QAD543" s="35"/>
      <c r="QAE543" s="35"/>
      <c r="QJZ543" s="35"/>
      <c r="QKA543" s="35"/>
      <c r="QTV543" s="35"/>
      <c r="QTW543" s="35"/>
      <c r="RDR543" s="35"/>
      <c r="RDS543" s="35"/>
      <c r="RNN543" s="35"/>
      <c r="RNO543" s="35"/>
      <c r="RXJ543" s="35"/>
      <c r="RXK543" s="35"/>
      <c r="SHF543" s="35"/>
      <c r="SHG543" s="35"/>
      <c r="SRB543" s="35"/>
      <c r="SRC543" s="35"/>
      <c r="TAX543" s="35"/>
      <c r="TAY543" s="35"/>
      <c r="TKT543" s="35"/>
      <c r="TKU543" s="35"/>
      <c r="TUP543" s="35"/>
      <c r="TUQ543" s="35"/>
      <c r="UEL543" s="35"/>
      <c r="UEM543" s="35"/>
      <c r="UOH543" s="35"/>
      <c r="UOI543" s="35"/>
      <c r="UYD543" s="35"/>
      <c r="UYE543" s="35"/>
      <c r="VHZ543" s="35"/>
      <c r="VIA543" s="35"/>
      <c r="VRV543" s="35"/>
      <c r="VRW543" s="35"/>
      <c r="WBR543" s="35"/>
      <c r="WBS543" s="35"/>
      <c r="WLN543" s="35"/>
      <c r="WLO543" s="35"/>
      <c r="WVJ543" s="35"/>
      <c r="WVK543" s="35"/>
    </row>
    <row r="544" spans="1:771 1026:1795 2050:2819 3074:3843 4098:4867 5122:5891 6146:6915 7170:7939 8194:8963 9218:9987 10242:11011 11266:12035 12290:13059 13314:14083 14338:15107 15362:16131" s="35" customFormat="1" ht="69" x14ac:dyDescent="0.3">
      <c r="A544" s="28">
        <v>46</v>
      </c>
      <c r="B544" s="29" t="s">
        <v>2152</v>
      </c>
      <c r="C544" s="30" t="s">
        <v>475</v>
      </c>
      <c r="D544" s="31" t="s">
        <v>13</v>
      </c>
      <c r="E544" s="32">
        <v>16.2</v>
      </c>
      <c r="F544" s="33"/>
      <c r="G544" s="33"/>
      <c r="H544" s="34" t="s">
        <v>473</v>
      </c>
    </row>
    <row r="545" spans="1:771 1026:1795 2050:2819 3074:3843 4098:4867 5122:5891 6146:6915 7170:7939 8194:8963 9218:9987 10242:11011 11266:12035 12290:13059 13314:14083 14338:15107 15362:16131" s="35" customFormat="1" x14ac:dyDescent="0.3">
      <c r="A545" s="36"/>
      <c r="B545" s="72" t="s">
        <v>470</v>
      </c>
      <c r="C545" s="38" t="s">
        <v>14</v>
      </c>
      <c r="D545" s="39"/>
      <c r="E545" s="44"/>
      <c r="F545" s="40"/>
      <c r="G545" s="41">
        <f>SUM(G546)</f>
        <v>168544800</v>
      </c>
      <c r="H545" s="42"/>
    </row>
    <row r="546" spans="1:771 1026:1795 2050:2819 3074:3843 4098:4867 5122:5891 6146:6915 7170:7939 8194:8963 9218:9987 10242:11011 11266:12035 12290:13059 13314:14083 14338:15107 15362:16131" s="35" customFormat="1" ht="62.4" x14ac:dyDescent="0.3">
      <c r="A546" s="36"/>
      <c r="B546" s="72" t="s">
        <v>471</v>
      </c>
      <c r="C546" s="43" t="s">
        <v>55</v>
      </c>
      <c r="D546" s="39" t="s">
        <v>13</v>
      </c>
      <c r="E546" s="73">
        <v>16.2</v>
      </c>
      <c r="F546" s="153">
        <v>10404000</v>
      </c>
      <c r="G546" s="40">
        <f>E546*F546</f>
        <v>168544800</v>
      </c>
      <c r="H546" s="42"/>
    </row>
    <row r="547" spans="1:771 1026:1795 2050:2819 3074:3843 4098:4867 5122:5891 6146:6915 7170:7939 8194:8963 9218:9987 10242:11011 11266:12035 12290:13059 13314:14083 14338:15107 15362:16131" s="35" customFormat="1" x14ac:dyDescent="0.3">
      <c r="A547" s="36"/>
      <c r="B547" s="72" t="s">
        <v>472</v>
      </c>
      <c r="C547" s="47" t="s">
        <v>35</v>
      </c>
      <c r="D547" s="39"/>
      <c r="E547" s="73"/>
      <c r="F547" s="40"/>
      <c r="G547" s="41">
        <f>SUM(G548:G549)</f>
        <v>10961164.800000001</v>
      </c>
      <c r="H547" s="45"/>
    </row>
    <row r="548" spans="1:771 1026:1795 2050:2819 3074:3843 4098:4867 5122:5891 6146:6915 7170:7939 8194:8963 9218:9987 10242:11011 11266:12035 12290:13059 13314:14083 14338:15107 15362:16131" s="77" customFormat="1" ht="62.4" x14ac:dyDescent="0.3">
      <c r="A548" s="36"/>
      <c r="B548" s="75"/>
      <c r="C548" s="66" t="s">
        <v>474</v>
      </c>
      <c r="D548" s="76" t="s">
        <v>234</v>
      </c>
      <c r="E548" s="73">
        <f>0.75*8.16</f>
        <v>6.12</v>
      </c>
      <c r="F548" s="74">
        <f>3592000*40%</f>
        <v>1436800</v>
      </c>
      <c r="G548" s="40">
        <f>E548*F548</f>
        <v>8793216</v>
      </c>
      <c r="H548" s="45" t="s">
        <v>2403</v>
      </c>
    </row>
    <row r="549" spans="1:771 1026:1795 2050:2819 3074:3843 4098:4867 5122:5891 6146:6915 7170:7939 8194:8963 9218:9987 10242:11011 11266:12035 12290:13059 13314:14083 14338:15107 15362:16131" s="77" customFormat="1" ht="31.2" x14ac:dyDescent="0.3">
      <c r="A549" s="36"/>
      <c r="B549" s="75"/>
      <c r="C549" s="66" t="s">
        <v>476</v>
      </c>
      <c r="D549" s="76" t="s">
        <v>234</v>
      </c>
      <c r="E549" s="73">
        <f>1.23*8.16</f>
        <v>10.036799999999999</v>
      </c>
      <c r="F549" s="74">
        <f>540000*40%</f>
        <v>216000</v>
      </c>
      <c r="G549" s="40">
        <f>E549*F549</f>
        <v>2167948.7999999998</v>
      </c>
      <c r="H549" s="45" t="s">
        <v>2374</v>
      </c>
    </row>
    <row r="550" spans="1:771 1026:1795 2050:2819 3074:3843 4098:4867 5122:5891 6146:6915 7170:7939 8194:8963 9218:9987 10242:11011 11266:12035 12290:13059 13314:14083 14338:15107 15362:16131" s="35" customFormat="1" x14ac:dyDescent="0.3">
      <c r="A550" s="36"/>
      <c r="B550" s="46"/>
      <c r="C550" s="51" t="s">
        <v>23</v>
      </c>
      <c r="D550" s="39"/>
      <c r="E550" s="1"/>
      <c r="F550" s="2"/>
      <c r="G550" s="41">
        <f>SUM(G551)</f>
        <v>3060000</v>
      </c>
      <c r="H550" s="52"/>
    </row>
    <row r="551" spans="1:771 1026:1795 2050:2819 3074:3843 4098:4867 5122:5891 6146:6915 7170:7939 8194:8963 9218:9987 10242:11011 11266:12035 12290:13059 13314:14083 14338:15107 15362:16131" s="35" customFormat="1" x14ac:dyDescent="0.3">
      <c r="A551" s="36"/>
      <c r="B551" s="46"/>
      <c r="C551" s="50" t="s">
        <v>24</v>
      </c>
      <c r="D551" s="39" t="s">
        <v>25</v>
      </c>
      <c r="E551" s="1">
        <f>1*30*6</f>
        <v>180</v>
      </c>
      <c r="F551" s="2">
        <v>17000</v>
      </c>
      <c r="G551" s="40">
        <f>E551*F551</f>
        <v>3060000</v>
      </c>
      <c r="H551" s="42"/>
    </row>
    <row r="552" spans="1:771 1026:1795 2050:2819 3074:3843 4098:4867 5122:5891 6146:6915 7170:7939 8194:8963 9218:9987 10242:11011 11266:12035 12290:13059 13314:14083 14338:15107 15362:16131" s="35" customFormat="1" ht="65.400000000000006" thickBot="1" x14ac:dyDescent="0.35">
      <c r="A552" s="53"/>
      <c r="B552" s="54"/>
      <c r="C552" s="55" t="s">
        <v>2331</v>
      </c>
      <c r="D552" s="56"/>
      <c r="E552" s="5"/>
      <c r="F552" s="6"/>
      <c r="G552" s="57"/>
      <c r="H552" s="58"/>
    </row>
    <row r="553" spans="1:771 1026:1795 2050:2819 3074:3843 4098:4867 5122:5891 6146:6915 7170:7939 8194:8963 9218:9987 10242:11011 11266:12035 12290:13059 13314:14083 14338:15107 15362:16131" s="59" customFormat="1" ht="31.8" thickBot="1" x14ac:dyDescent="0.35">
      <c r="A553" s="154"/>
      <c r="B553" s="155" t="s">
        <v>26</v>
      </c>
      <c r="C553" s="156"/>
      <c r="D553" s="154"/>
      <c r="E553" s="157"/>
      <c r="F553" s="158"/>
      <c r="G553" s="159">
        <f>SUM(G544:G552)/2</f>
        <v>182565964.80000001</v>
      </c>
      <c r="H553" s="160"/>
      <c r="IX553" s="35"/>
      <c r="IY553" s="35"/>
      <c r="ST553" s="35"/>
      <c r="SU553" s="35"/>
      <c r="ACP553" s="35"/>
      <c r="ACQ553" s="35"/>
      <c r="AML553" s="35"/>
      <c r="AMM553" s="35"/>
      <c r="AWH553" s="35"/>
      <c r="AWI553" s="35"/>
      <c r="BGD553" s="35"/>
      <c r="BGE553" s="35"/>
      <c r="BPZ553" s="35"/>
      <c r="BQA553" s="35"/>
      <c r="BZV553" s="35"/>
      <c r="BZW553" s="35"/>
      <c r="CJR553" s="35"/>
      <c r="CJS553" s="35"/>
      <c r="CTN553" s="35"/>
      <c r="CTO553" s="35"/>
      <c r="DDJ553" s="35"/>
      <c r="DDK553" s="35"/>
      <c r="DNF553" s="35"/>
      <c r="DNG553" s="35"/>
      <c r="DXB553" s="35"/>
      <c r="DXC553" s="35"/>
      <c r="EGX553" s="35"/>
      <c r="EGY553" s="35"/>
      <c r="EQT553" s="35"/>
      <c r="EQU553" s="35"/>
      <c r="FAP553" s="35"/>
      <c r="FAQ553" s="35"/>
      <c r="FKL553" s="35"/>
      <c r="FKM553" s="35"/>
      <c r="FUH553" s="35"/>
      <c r="FUI553" s="35"/>
      <c r="GED553" s="35"/>
      <c r="GEE553" s="35"/>
      <c r="GNZ553" s="35"/>
      <c r="GOA553" s="35"/>
      <c r="GXV553" s="35"/>
      <c r="GXW553" s="35"/>
      <c r="HHR553" s="35"/>
      <c r="HHS553" s="35"/>
      <c r="HRN553" s="35"/>
      <c r="HRO553" s="35"/>
      <c r="IBJ553" s="35"/>
      <c r="IBK553" s="35"/>
      <c r="ILF553" s="35"/>
      <c r="ILG553" s="35"/>
      <c r="IVB553" s="35"/>
      <c r="IVC553" s="35"/>
      <c r="JEX553" s="35"/>
      <c r="JEY553" s="35"/>
      <c r="JOT553" s="35"/>
      <c r="JOU553" s="35"/>
      <c r="JYP553" s="35"/>
      <c r="JYQ553" s="35"/>
      <c r="KIL553" s="35"/>
      <c r="KIM553" s="35"/>
      <c r="KSH553" s="35"/>
      <c r="KSI553" s="35"/>
      <c r="LCD553" s="35"/>
      <c r="LCE553" s="35"/>
      <c r="LLZ553" s="35"/>
      <c r="LMA553" s="35"/>
      <c r="LVV553" s="35"/>
      <c r="LVW553" s="35"/>
      <c r="MFR553" s="35"/>
      <c r="MFS553" s="35"/>
      <c r="MPN553" s="35"/>
      <c r="MPO553" s="35"/>
      <c r="MZJ553" s="35"/>
      <c r="MZK553" s="35"/>
      <c r="NJF553" s="35"/>
      <c r="NJG553" s="35"/>
      <c r="NTB553" s="35"/>
      <c r="NTC553" s="35"/>
      <c r="OCX553" s="35"/>
      <c r="OCY553" s="35"/>
      <c r="OMT553" s="35"/>
      <c r="OMU553" s="35"/>
      <c r="OWP553" s="35"/>
      <c r="OWQ553" s="35"/>
      <c r="PGL553" s="35"/>
      <c r="PGM553" s="35"/>
      <c r="PQH553" s="35"/>
      <c r="PQI553" s="35"/>
      <c r="QAD553" s="35"/>
      <c r="QAE553" s="35"/>
      <c r="QJZ553" s="35"/>
      <c r="QKA553" s="35"/>
      <c r="QTV553" s="35"/>
      <c r="QTW553" s="35"/>
      <c r="RDR553" s="35"/>
      <c r="RDS553" s="35"/>
      <c r="RNN553" s="35"/>
      <c r="RNO553" s="35"/>
      <c r="RXJ553" s="35"/>
      <c r="RXK553" s="35"/>
      <c r="SHF553" s="35"/>
      <c r="SHG553" s="35"/>
      <c r="SRB553" s="35"/>
      <c r="SRC553" s="35"/>
      <c r="TAX553" s="35"/>
      <c r="TAY553" s="35"/>
      <c r="TKT553" s="35"/>
      <c r="TKU553" s="35"/>
      <c r="TUP553" s="35"/>
      <c r="TUQ553" s="35"/>
      <c r="UEL553" s="35"/>
      <c r="UEM553" s="35"/>
      <c r="UOH553" s="35"/>
      <c r="UOI553" s="35"/>
      <c r="UYD553" s="35"/>
      <c r="UYE553" s="35"/>
      <c r="VHZ553" s="35"/>
      <c r="VIA553" s="35"/>
      <c r="VRV553" s="35"/>
      <c r="VRW553" s="35"/>
      <c r="WBR553" s="35"/>
      <c r="WBS553" s="35"/>
      <c r="WLN553" s="35"/>
      <c r="WLO553" s="35"/>
      <c r="WVJ553" s="35"/>
      <c r="WVK553" s="35"/>
    </row>
    <row r="554" spans="1:771 1026:1795 2050:2819 3074:3843 4098:4867 5122:5891 6146:6915 7170:7939 8194:8963 9218:9987 10242:11011 11266:12035 12290:13059 13314:14083 14338:15107 15362:16131" s="35" customFormat="1" ht="31.2" x14ac:dyDescent="0.3">
      <c r="A554" s="28">
        <v>47</v>
      </c>
      <c r="B554" s="29" t="s">
        <v>477</v>
      </c>
      <c r="C554" s="30" t="s">
        <v>481</v>
      </c>
      <c r="D554" s="31" t="s">
        <v>13</v>
      </c>
      <c r="E554" s="32">
        <v>12.2</v>
      </c>
      <c r="F554" s="33"/>
      <c r="G554" s="33"/>
      <c r="H554" s="34"/>
    </row>
    <row r="555" spans="1:771 1026:1795 2050:2819 3074:3843 4098:4867 5122:5891 6146:6915 7170:7939 8194:8963 9218:9987 10242:11011 11266:12035 12290:13059 13314:14083 14338:15107 15362:16131" s="35" customFormat="1" x14ac:dyDescent="0.3">
      <c r="A555" s="36"/>
      <c r="B555" s="72" t="s">
        <v>478</v>
      </c>
      <c r="C555" s="38" t="s">
        <v>14</v>
      </c>
      <c r="D555" s="39"/>
      <c r="E555" s="44"/>
      <c r="F555" s="40"/>
      <c r="G555" s="41">
        <f>SUM(G556)</f>
        <v>237643800</v>
      </c>
      <c r="H555" s="42"/>
    </row>
    <row r="556" spans="1:771 1026:1795 2050:2819 3074:3843 4098:4867 5122:5891 6146:6915 7170:7939 8194:8963 9218:9987 10242:11011 11266:12035 12290:13059 13314:14083 14338:15107 15362:16131" s="35" customFormat="1" ht="62.4" x14ac:dyDescent="0.3">
      <c r="A556" s="36"/>
      <c r="B556" s="72" t="s">
        <v>479</v>
      </c>
      <c r="C556" s="48" t="s">
        <v>38</v>
      </c>
      <c r="D556" s="39" t="s">
        <v>13</v>
      </c>
      <c r="E556" s="44">
        <v>12.2</v>
      </c>
      <c r="F556" s="161">
        <v>19479000</v>
      </c>
      <c r="G556" s="40">
        <f>E556*F556</f>
        <v>237643800</v>
      </c>
      <c r="H556" s="42"/>
    </row>
    <row r="557" spans="1:771 1026:1795 2050:2819 3074:3843 4098:4867 5122:5891 6146:6915 7170:7939 8194:8963 9218:9987 10242:11011 11266:12035 12290:13059 13314:14083 14338:15107 15362:16131" s="35" customFormat="1" x14ac:dyDescent="0.3">
      <c r="A557" s="36"/>
      <c r="B557" s="72" t="s">
        <v>480</v>
      </c>
      <c r="C557" s="47" t="s">
        <v>35</v>
      </c>
      <c r="D557" s="39"/>
      <c r="E557" s="73"/>
      <c r="F557" s="40"/>
      <c r="G557" s="41">
        <f>SUM(G558:G559)</f>
        <v>30037629.599999998</v>
      </c>
      <c r="H557" s="45"/>
    </row>
    <row r="558" spans="1:771 1026:1795 2050:2819 3074:3843 4098:4867 5122:5891 6146:6915 7170:7939 8194:8963 9218:9987 10242:11011 11266:12035 12290:13059 13314:14083 14338:15107 15362:16131" s="77" customFormat="1" ht="93.6" x14ac:dyDescent="0.3">
      <c r="A558" s="36"/>
      <c r="B558" s="75"/>
      <c r="C558" s="66" t="s">
        <v>482</v>
      </c>
      <c r="D558" s="76" t="s">
        <v>234</v>
      </c>
      <c r="E558" s="73">
        <v>12.177</v>
      </c>
      <c r="F558" s="74">
        <f>3592000*40%</f>
        <v>1436800</v>
      </c>
      <c r="G558" s="40">
        <f>E558*F558</f>
        <v>17495913.599999998</v>
      </c>
      <c r="H558" s="45" t="s">
        <v>483</v>
      </c>
    </row>
    <row r="559" spans="1:771 1026:1795 2050:2819 3074:3843 4098:4867 5122:5891 6146:6915 7170:7939 8194:8963 9218:9987 10242:11011 11266:12035 12290:13059 13314:14083 14338:15107 15362:16131" s="77" customFormat="1" x14ac:dyDescent="0.3">
      <c r="A559" s="36"/>
      <c r="B559" s="75"/>
      <c r="C559" s="66" t="s">
        <v>484</v>
      </c>
      <c r="D559" s="76" t="s">
        <v>234</v>
      </c>
      <c r="E559" s="73">
        <v>32.076000000000001</v>
      </c>
      <c r="F559" s="74">
        <v>391000</v>
      </c>
      <c r="G559" s="40">
        <f>E559*F559</f>
        <v>12541716</v>
      </c>
      <c r="H559" s="45"/>
    </row>
    <row r="560" spans="1:771 1026:1795 2050:2819 3074:3843 4098:4867 5122:5891 6146:6915 7170:7939 8194:8963 9218:9987 10242:11011 11266:12035 12290:13059 13314:14083 14338:15107 15362:16131" s="35" customFormat="1" ht="65.400000000000006" thickBot="1" x14ac:dyDescent="0.35">
      <c r="A560" s="53"/>
      <c r="B560" s="54"/>
      <c r="C560" s="55" t="s">
        <v>2331</v>
      </c>
      <c r="D560" s="56"/>
      <c r="E560" s="5"/>
      <c r="F560" s="6"/>
      <c r="G560" s="57"/>
      <c r="H560" s="58"/>
    </row>
    <row r="561" spans="1:771 1026:1795 2050:2819 3074:3843 4098:4867 5122:5891 6146:6915 7170:7939 8194:8963 9218:9987 10242:11011 11266:12035 12290:13059 13314:14083 14338:15107 15362:16131" s="59" customFormat="1" ht="31.8" thickBot="1" x14ac:dyDescent="0.35">
      <c r="A561" s="154"/>
      <c r="B561" s="155" t="s">
        <v>26</v>
      </c>
      <c r="C561" s="156"/>
      <c r="D561" s="154"/>
      <c r="E561" s="157"/>
      <c r="F561" s="158"/>
      <c r="G561" s="159">
        <f>SUM(G554:G560)/2</f>
        <v>267681429.60000002</v>
      </c>
      <c r="H561" s="160"/>
      <c r="IX561" s="35"/>
      <c r="IY561" s="35"/>
      <c r="ST561" s="35"/>
      <c r="SU561" s="35"/>
      <c r="ACP561" s="35"/>
      <c r="ACQ561" s="35"/>
      <c r="AML561" s="35"/>
      <c r="AMM561" s="35"/>
      <c r="AWH561" s="35"/>
      <c r="AWI561" s="35"/>
      <c r="BGD561" s="35"/>
      <c r="BGE561" s="35"/>
      <c r="BPZ561" s="35"/>
      <c r="BQA561" s="35"/>
      <c r="BZV561" s="35"/>
      <c r="BZW561" s="35"/>
      <c r="CJR561" s="35"/>
      <c r="CJS561" s="35"/>
      <c r="CTN561" s="35"/>
      <c r="CTO561" s="35"/>
      <c r="DDJ561" s="35"/>
      <c r="DDK561" s="35"/>
      <c r="DNF561" s="35"/>
      <c r="DNG561" s="35"/>
      <c r="DXB561" s="35"/>
      <c r="DXC561" s="35"/>
      <c r="EGX561" s="35"/>
      <c r="EGY561" s="35"/>
      <c r="EQT561" s="35"/>
      <c r="EQU561" s="35"/>
      <c r="FAP561" s="35"/>
      <c r="FAQ561" s="35"/>
      <c r="FKL561" s="35"/>
      <c r="FKM561" s="35"/>
      <c r="FUH561" s="35"/>
      <c r="FUI561" s="35"/>
      <c r="GED561" s="35"/>
      <c r="GEE561" s="35"/>
      <c r="GNZ561" s="35"/>
      <c r="GOA561" s="35"/>
      <c r="GXV561" s="35"/>
      <c r="GXW561" s="35"/>
      <c r="HHR561" s="35"/>
      <c r="HHS561" s="35"/>
      <c r="HRN561" s="35"/>
      <c r="HRO561" s="35"/>
      <c r="IBJ561" s="35"/>
      <c r="IBK561" s="35"/>
      <c r="ILF561" s="35"/>
      <c r="ILG561" s="35"/>
      <c r="IVB561" s="35"/>
      <c r="IVC561" s="35"/>
      <c r="JEX561" s="35"/>
      <c r="JEY561" s="35"/>
      <c r="JOT561" s="35"/>
      <c r="JOU561" s="35"/>
      <c r="JYP561" s="35"/>
      <c r="JYQ561" s="35"/>
      <c r="KIL561" s="35"/>
      <c r="KIM561" s="35"/>
      <c r="KSH561" s="35"/>
      <c r="KSI561" s="35"/>
      <c r="LCD561" s="35"/>
      <c r="LCE561" s="35"/>
      <c r="LLZ561" s="35"/>
      <c r="LMA561" s="35"/>
      <c r="LVV561" s="35"/>
      <c r="LVW561" s="35"/>
      <c r="MFR561" s="35"/>
      <c r="MFS561" s="35"/>
      <c r="MPN561" s="35"/>
      <c r="MPO561" s="35"/>
      <c r="MZJ561" s="35"/>
      <c r="MZK561" s="35"/>
      <c r="NJF561" s="35"/>
      <c r="NJG561" s="35"/>
      <c r="NTB561" s="35"/>
      <c r="NTC561" s="35"/>
      <c r="OCX561" s="35"/>
      <c r="OCY561" s="35"/>
      <c r="OMT561" s="35"/>
      <c r="OMU561" s="35"/>
      <c r="OWP561" s="35"/>
      <c r="OWQ561" s="35"/>
      <c r="PGL561" s="35"/>
      <c r="PGM561" s="35"/>
      <c r="PQH561" s="35"/>
      <c r="PQI561" s="35"/>
      <c r="QAD561" s="35"/>
      <c r="QAE561" s="35"/>
      <c r="QJZ561" s="35"/>
      <c r="QKA561" s="35"/>
      <c r="QTV561" s="35"/>
      <c r="QTW561" s="35"/>
      <c r="RDR561" s="35"/>
      <c r="RDS561" s="35"/>
      <c r="RNN561" s="35"/>
      <c r="RNO561" s="35"/>
      <c r="RXJ561" s="35"/>
      <c r="RXK561" s="35"/>
      <c r="SHF561" s="35"/>
      <c r="SHG561" s="35"/>
      <c r="SRB561" s="35"/>
      <c r="SRC561" s="35"/>
      <c r="TAX561" s="35"/>
      <c r="TAY561" s="35"/>
      <c r="TKT561" s="35"/>
      <c r="TKU561" s="35"/>
      <c r="TUP561" s="35"/>
      <c r="TUQ561" s="35"/>
      <c r="UEL561" s="35"/>
      <c r="UEM561" s="35"/>
      <c r="UOH561" s="35"/>
      <c r="UOI561" s="35"/>
      <c r="UYD561" s="35"/>
      <c r="UYE561" s="35"/>
      <c r="VHZ561" s="35"/>
      <c r="VIA561" s="35"/>
      <c r="VRV561" s="35"/>
      <c r="VRW561" s="35"/>
      <c r="WBR561" s="35"/>
      <c r="WBS561" s="35"/>
      <c r="WLN561" s="35"/>
      <c r="WLO561" s="35"/>
      <c r="WVJ561" s="35"/>
      <c r="WVK561" s="35"/>
    </row>
    <row r="562" spans="1:771 1026:1795 2050:2819 3074:3843 4098:4867 5122:5891 6146:6915 7170:7939 8194:8963 9218:9987 10242:11011 11266:12035 12290:13059 13314:14083 14338:15107 15362:16131" s="35" customFormat="1" ht="69" x14ac:dyDescent="0.3">
      <c r="A562" s="28">
        <v>48</v>
      </c>
      <c r="B562" s="29" t="s">
        <v>489</v>
      </c>
      <c r="C562" s="30" t="s">
        <v>2192</v>
      </c>
      <c r="D562" s="31" t="s">
        <v>13</v>
      </c>
      <c r="E562" s="32">
        <v>20.100000000000001</v>
      </c>
      <c r="F562" s="33"/>
      <c r="G562" s="33"/>
      <c r="H562" s="34" t="s">
        <v>488</v>
      </c>
    </row>
    <row r="563" spans="1:771 1026:1795 2050:2819 3074:3843 4098:4867 5122:5891 6146:6915 7170:7939 8194:8963 9218:9987 10242:11011 11266:12035 12290:13059 13314:14083 14338:15107 15362:16131" s="35" customFormat="1" x14ac:dyDescent="0.3">
      <c r="A563" s="36"/>
      <c r="B563" s="72" t="s">
        <v>485</v>
      </c>
      <c r="C563" s="38" t="s">
        <v>14</v>
      </c>
      <c r="D563" s="39"/>
      <c r="E563" s="44"/>
      <c r="F563" s="40"/>
      <c r="G563" s="41">
        <f>SUM(G564)</f>
        <v>209120400</v>
      </c>
      <c r="H563" s="42"/>
    </row>
    <row r="564" spans="1:771 1026:1795 2050:2819 3074:3843 4098:4867 5122:5891 6146:6915 7170:7939 8194:8963 9218:9987 10242:11011 11266:12035 12290:13059 13314:14083 14338:15107 15362:16131" s="35" customFormat="1" ht="46.8" x14ac:dyDescent="0.3">
      <c r="A564" s="36"/>
      <c r="B564" s="72" t="s">
        <v>487</v>
      </c>
      <c r="C564" s="43" t="s">
        <v>55</v>
      </c>
      <c r="D564" s="39" t="s">
        <v>13</v>
      </c>
      <c r="E564" s="73">
        <v>20.100000000000001</v>
      </c>
      <c r="F564" s="153">
        <v>10404000</v>
      </c>
      <c r="G564" s="40">
        <f>E564*F564</f>
        <v>209120400</v>
      </c>
      <c r="H564" s="42"/>
    </row>
    <row r="565" spans="1:771 1026:1795 2050:2819 3074:3843 4098:4867 5122:5891 6146:6915 7170:7939 8194:8963 9218:9987 10242:11011 11266:12035 12290:13059 13314:14083 14338:15107 15362:16131" s="35" customFormat="1" x14ac:dyDescent="0.3">
      <c r="A565" s="36"/>
      <c r="B565" s="72" t="s">
        <v>486</v>
      </c>
      <c r="C565" s="47" t="s">
        <v>35</v>
      </c>
      <c r="D565" s="39"/>
      <c r="E565" s="73"/>
      <c r="F565" s="40"/>
      <c r="G565" s="41">
        <f>SUM(G566:G567)</f>
        <v>2127762</v>
      </c>
      <c r="H565" s="45"/>
    </row>
    <row r="566" spans="1:771 1026:1795 2050:2819 3074:3843 4098:4867 5122:5891 6146:6915 7170:7939 8194:8963 9218:9987 10242:11011 11266:12035 12290:13059 13314:14083 14338:15107 15362:16131" s="77" customFormat="1" x14ac:dyDescent="0.3">
      <c r="A566" s="36"/>
      <c r="B566" s="75"/>
      <c r="C566" s="66" t="s">
        <v>260</v>
      </c>
      <c r="D566" s="76" t="s">
        <v>231</v>
      </c>
      <c r="E566" s="73">
        <v>1.0069999999999999</v>
      </c>
      <c r="F566" s="40">
        <v>1533000</v>
      </c>
      <c r="G566" s="40">
        <f>E566*F566</f>
        <v>1543730.9999999998</v>
      </c>
      <c r="H566" s="45"/>
    </row>
    <row r="567" spans="1:771 1026:1795 2050:2819 3074:3843 4098:4867 5122:5891 6146:6915 7170:7939 8194:8963 9218:9987 10242:11011 11266:12035 12290:13059 13314:14083 14338:15107 15362:16131" s="77" customFormat="1" x14ac:dyDescent="0.3">
      <c r="A567" s="36"/>
      <c r="B567" s="75"/>
      <c r="C567" s="66" t="s">
        <v>189</v>
      </c>
      <c r="D567" s="76" t="s">
        <v>231</v>
      </c>
      <c r="E567" s="73">
        <v>0.41099999999999998</v>
      </c>
      <c r="F567" s="40">
        <v>1421000</v>
      </c>
      <c r="G567" s="40">
        <f>E567*F567</f>
        <v>584031</v>
      </c>
      <c r="H567" s="45"/>
    </row>
    <row r="568" spans="1:771 1026:1795 2050:2819 3074:3843 4098:4867 5122:5891 6146:6915 7170:7939 8194:8963 9218:9987 10242:11011 11266:12035 12290:13059 13314:14083 14338:15107 15362:16131" s="35" customFormat="1" x14ac:dyDescent="0.3">
      <c r="A568" s="36"/>
      <c r="B568" s="46"/>
      <c r="C568" s="51" t="s">
        <v>23</v>
      </c>
      <c r="D568" s="39"/>
      <c r="E568" s="1"/>
      <c r="F568" s="2"/>
      <c r="G568" s="41">
        <f>SUM(G569)</f>
        <v>6120000</v>
      </c>
      <c r="H568" s="52"/>
    </row>
    <row r="569" spans="1:771 1026:1795 2050:2819 3074:3843 4098:4867 5122:5891 6146:6915 7170:7939 8194:8963 9218:9987 10242:11011 11266:12035 12290:13059 13314:14083 14338:15107 15362:16131" s="35" customFormat="1" x14ac:dyDescent="0.3">
      <c r="A569" s="36"/>
      <c r="B569" s="46"/>
      <c r="C569" s="50" t="s">
        <v>24</v>
      </c>
      <c r="D569" s="39" t="s">
        <v>25</v>
      </c>
      <c r="E569" s="1">
        <f>2*30*6</f>
        <v>360</v>
      </c>
      <c r="F569" s="2">
        <v>17000</v>
      </c>
      <c r="G569" s="40">
        <f>E569*F569</f>
        <v>6120000</v>
      </c>
      <c r="H569" s="42"/>
    </row>
    <row r="570" spans="1:771 1026:1795 2050:2819 3074:3843 4098:4867 5122:5891 6146:6915 7170:7939 8194:8963 9218:9987 10242:11011 11266:12035 12290:13059 13314:14083 14338:15107 15362:16131" s="35" customFormat="1" ht="65.400000000000006" thickBot="1" x14ac:dyDescent="0.35">
      <c r="A570" s="53"/>
      <c r="B570" s="54"/>
      <c r="C570" s="55" t="s">
        <v>2331</v>
      </c>
      <c r="D570" s="56"/>
      <c r="E570" s="5"/>
      <c r="F570" s="6"/>
      <c r="G570" s="57"/>
      <c r="H570" s="58"/>
    </row>
    <row r="571" spans="1:771 1026:1795 2050:2819 3074:3843 4098:4867 5122:5891 6146:6915 7170:7939 8194:8963 9218:9987 10242:11011 11266:12035 12290:13059 13314:14083 14338:15107 15362:16131" s="59" customFormat="1" ht="31.8" thickBot="1" x14ac:dyDescent="0.35">
      <c r="A571" s="154"/>
      <c r="B571" s="155" t="s">
        <v>26</v>
      </c>
      <c r="C571" s="156"/>
      <c r="D571" s="154"/>
      <c r="E571" s="157"/>
      <c r="F571" s="158"/>
      <c r="G571" s="159">
        <f>SUM(G562:G570)/2</f>
        <v>217368162</v>
      </c>
      <c r="H571" s="160"/>
      <c r="IX571" s="35"/>
      <c r="IY571" s="35"/>
      <c r="ST571" s="35"/>
      <c r="SU571" s="35"/>
      <c r="ACP571" s="35"/>
      <c r="ACQ571" s="35"/>
      <c r="AML571" s="35"/>
      <c r="AMM571" s="35"/>
      <c r="AWH571" s="35"/>
      <c r="AWI571" s="35"/>
      <c r="BGD571" s="35"/>
      <c r="BGE571" s="35"/>
      <c r="BPZ571" s="35"/>
      <c r="BQA571" s="35"/>
      <c r="BZV571" s="35"/>
      <c r="BZW571" s="35"/>
      <c r="CJR571" s="35"/>
      <c r="CJS571" s="35"/>
      <c r="CTN571" s="35"/>
      <c r="CTO571" s="35"/>
      <c r="DDJ571" s="35"/>
      <c r="DDK571" s="35"/>
      <c r="DNF571" s="35"/>
      <c r="DNG571" s="35"/>
      <c r="DXB571" s="35"/>
      <c r="DXC571" s="35"/>
      <c r="EGX571" s="35"/>
      <c r="EGY571" s="35"/>
      <c r="EQT571" s="35"/>
      <c r="EQU571" s="35"/>
      <c r="FAP571" s="35"/>
      <c r="FAQ571" s="35"/>
      <c r="FKL571" s="35"/>
      <c r="FKM571" s="35"/>
      <c r="FUH571" s="35"/>
      <c r="FUI571" s="35"/>
      <c r="GED571" s="35"/>
      <c r="GEE571" s="35"/>
      <c r="GNZ571" s="35"/>
      <c r="GOA571" s="35"/>
      <c r="GXV571" s="35"/>
      <c r="GXW571" s="35"/>
      <c r="HHR571" s="35"/>
      <c r="HHS571" s="35"/>
      <c r="HRN571" s="35"/>
      <c r="HRO571" s="35"/>
      <c r="IBJ571" s="35"/>
      <c r="IBK571" s="35"/>
      <c r="ILF571" s="35"/>
      <c r="ILG571" s="35"/>
      <c r="IVB571" s="35"/>
      <c r="IVC571" s="35"/>
      <c r="JEX571" s="35"/>
      <c r="JEY571" s="35"/>
      <c r="JOT571" s="35"/>
      <c r="JOU571" s="35"/>
      <c r="JYP571" s="35"/>
      <c r="JYQ571" s="35"/>
      <c r="KIL571" s="35"/>
      <c r="KIM571" s="35"/>
      <c r="KSH571" s="35"/>
      <c r="KSI571" s="35"/>
      <c r="LCD571" s="35"/>
      <c r="LCE571" s="35"/>
      <c r="LLZ571" s="35"/>
      <c r="LMA571" s="35"/>
      <c r="LVV571" s="35"/>
      <c r="LVW571" s="35"/>
      <c r="MFR571" s="35"/>
      <c r="MFS571" s="35"/>
      <c r="MPN571" s="35"/>
      <c r="MPO571" s="35"/>
      <c r="MZJ571" s="35"/>
      <c r="MZK571" s="35"/>
      <c r="NJF571" s="35"/>
      <c r="NJG571" s="35"/>
      <c r="NTB571" s="35"/>
      <c r="NTC571" s="35"/>
      <c r="OCX571" s="35"/>
      <c r="OCY571" s="35"/>
      <c r="OMT571" s="35"/>
      <c r="OMU571" s="35"/>
      <c r="OWP571" s="35"/>
      <c r="OWQ571" s="35"/>
      <c r="PGL571" s="35"/>
      <c r="PGM571" s="35"/>
      <c r="PQH571" s="35"/>
      <c r="PQI571" s="35"/>
      <c r="QAD571" s="35"/>
      <c r="QAE571" s="35"/>
      <c r="QJZ571" s="35"/>
      <c r="QKA571" s="35"/>
      <c r="QTV571" s="35"/>
      <c r="QTW571" s="35"/>
      <c r="RDR571" s="35"/>
      <c r="RDS571" s="35"/>
      <c r="RNN571" s="35"/>
      <c r="RNO571" s="35"/>
      <c r="RXJ571" s="35"/>
      <c r="RXK571" s="35"/>
      <c r="SHF571" s="35"/>
      <c r="SHG571" s="35"/>
      <c r="SRB571" s="35"/>
      <c r="SRC571" s="35"/>
      <c r="TAX571" s="35"/>
      <c r="TAY571" s="35"/>
      <c r="TKT571" s="35"/>
      <c r="TKU571" s="35"/>
      <c r="TUP571" s="35"/>
      <c r="TUQ571" s="35"/>
      <c r="UEL571" s="35"/>
      <c r="UEM571" s="35"/>
      <c r="UOH571" s="35"/>
      <c r="UOI571" s="35"/>
      <c r="UYD571" s="35"/>
      <c r="UYE571" s="35"/>
      <c r="VHZ571" s="35"/>
      <c r="VIA571" s="35"/>
      <c r="VRV571" s="35"/>
      <c r="VRW571" s="35"/>
      <c r="WBR571" s="35"/>
      <c r="WBS571" s="35"/>
      <c r="WLN571" s="35"/>
      <c r="WLO571" s="35"/>
      <c r="WVJ571" s="35"/>
      <c r="WVK571" s="35"/>
    </row>
    <row r="572" spans="1:771 1026:1795 2050:2819 3074:3843 4098:4867 5122:5891 6146:6915 7170:7939 8194:8963 9218:9987 10242:11011 11266:12035 12290:13059 13314:14083 14338:15107 15362:16131" s="35" customFormat="1" ht="69" x14ac:dyDescent="0.3">
      <c r="A572" s="28">
        <v>49</v>
      </c>
      <c r="B572" s="29" t="s">
        <v>490</v>
      </c>
      <c r="C572" s="30" t="s">
        <v>494</v>
      </c>
      <c r="D572" s="31" t="s">
        <v>13</v>
      </c>
      <c r="E572" s="32">
        <v>11.2</v>
      </c>
      <c r="F572" s="33"/>
      <c r="G572" s="33"/>
      <c r="H572" s="34" t="s">
        <v>493</v>
      </c>
    </row>
    <row r="573" spans="1:771 1026:1795 2050:2819 3074:3843 4098:4867 5122:5891 6146:6915 7170:7939 8194:8963 9218:9987 10242:11011 11266:12035 12290:13059 13314:14083 14338:15107 15362:16131" s="35" customFormat="1" x14ac:dyDescent="0.3">
      <c r="A573" s="36"/>
      <c r="B573" s="72" t="s">
        <v>326</v>
      </c>
      <c r="C573" s="38" t="s">
        <v>14</v>
      </c>
      <c r="D573" s="39"/>
      <c r="E573" s="44"/>
      <c r="F573" s="40"/>
      <c r="G573" s="41">
        <f>SUM(G574)</f>
        <v>116524800</v>
      </c>
      <c r="H573" s="42"/>
    </row>
    <row r="574" spans="1:771 1026:1795 2050:2819 3074:3843 4098:4867 5122:5891 6146:6915 7170:7939 8194:8963 9218:9987 10242:11011 11266:12035 12290:13059 13314:14083 14338:15107 15362:16131" s="35" customFormat="1" ht="62.4" x14ac:dyDescent="0.3">
      <c r="A574" s="36"/>
      <c r="B574" s="72" t="s">
        <v>491</v>
      </c>
      <c r="C574" s="43" t="s">
        <v>55</v>
      </c>
      <c r="D574" s="39" t="s">
        <v>13</v>
      </c>
      <c r="E574" s="73">
        <v>11.2</v>
      </c>
      <c r="F574" s="153">
        <v>10404000</v>
      </c>
      <c r="G574" s="40">
        <f>E574*F574</f>
        <v>116524800</v>
      </c>
      <c r="H574" s="42"/>
    </row>
    <row r="575" spans="1:771 1026:1795 2050:2819 3074:3843 4098:4867 5122:5891 6146:6915 7170:7939 8194:8963 9218:9987 10242:11011 11266:12035 12290:13059 13314:14083 14338:15107 15362:16131" s="35" customFormat="1" x14ac:dyDescent="0.3">
      <c r="A575" s="36"/>
      <c r="B575" s="72" t="s">
        <v>492</v>
      </c>
      <c r="C575" s="47" t="s">
        <v>35</v>
      </c>
      <c r="D575" s="39"/>
      <c r="E575" s="73"/>
      <c r="F575" s="40"/>
      <c r="G575" s="41">
        <f>SUM(G576:G578)</f>
        <v>11578244.4</v>
      </c>
      <c r="H575" s="45"/>
    </row>
    <row r="576" spans="1:771 1026:1795 2050:2819 3074:3843 4098:4867 5122:5891 6146:6915 7170:7939 8194:8963 9218:9987 10242:11011 11266:12035 12290:13059 13314:14083 14338:15107 15362:16131" s="77" customFormat="1" ht="93.6" x14ac:dyDescent="0.3">
      <c r="A576" s="36"/>
      <c r="B576" s="75"/>
      <c r="C576" s="66" t="s">
        <v>495</v>
      </c>
      <c r="D576" s="76" t="s">
        <v>234</v>
      </c>
      <c r="E576" s="73">
        <v>2.673</v>
      </c>
      <c r="F576" s="74">
        <f>3592000*40%</f>
        <v>1436800</v>
      </c>
      <c r="G576" s="40">
        <f>E576*F576</f>
        <v>3840566.4</v>
      </c>
      <c r="H576" s="45" t="s">
        <v>2404</v>
      </c>
    </row>
    <row r="577" spans="1:771 1026:1795 2050:2819 3074:3843 4098:4867 5122:5891 6146:6915 7170:7939 8194:8963 9218:9987 10242:11011 11266:12035 12290:13059 13314:14083 14338:15107 15362:16131" s="77" customFormat="1" x14ac:dyDescent="0.3">
      <c r="A577" s="36"/>
      <c r="B577" s="75"/>
      <c r="C577" s="66" t="s">
        <v>469</v>
      </c>
      <c r="D577" s="76" t="s">
        <v>234</v>
      </c>
      <c r="E577" s="73">
        <v>9.2070000000000007</v>
      </c>
      <c r="F577" s="74">
        <v>258000</v>
      </c>
      <c r="G577" s="40">
        <f>E577*F577</f>
        <v>2375406</v>
      </c>
      <c r="H577" s="45"/>
    </row>
    <row r="578" spans="1:771 1026:1795 2050:2819 3074:3843 4098:4867 5122:5891 6146:6915 7170:7939 8194:8963 9218:9987 10242:11011 11266:12035 12290:13059 13314:14083 14338:15107 15362:16131" s="77" customFormat="1" x14ac:dyDescent="0.3">
      <c r="A578" s="36"/>
      <c r="B578" s="75"/>
      <c r="C578" s="66" t="s">
        <v>496</v>
      </c>
      <c r="D578" s="76" t="s">
        <v>234</v>
      </c>
      <c r="E578" s="73">
        <f>(1.33*1.2)+(3*1.2)</f>
        <v>5.1959999999999997</v>
      </c>
      <c r="F578" s="74">
        <v>1032000</v>
      </c>
      <c r="G578" s="40">
        <f>E578*F578</f>
        <v>5362272</v>
      </c>
      <c r="H578" s="45"/>
    </row>
    <row r="579" spans="1:771 1026:1795 2050:2819 3074:3843 4098:4867 5122:5891 6146:6915 7170:7939 8194:8963 9218:9987 10242:11011 11266:12035 12290:13059 13314:14083 14338:15107 15362:16131" s="35" customFormat="1" x14ac:dyDescent="0.3">
      <c r="A579" s="36"/>
      <c r="B579" s="46"/>
      <c r="C579" s="51" t="s">
        <v>20</v>
      </c>
      <c r="D579" s="39"/>
      <c r="E579" s="73"/>
      <c r="F579" s="40"/>
      <c r="G579" s="41">
        <f>SUM(G580:G581)</f>
        <v>280000</v>
      </c>
      <c r="H579" s="52"/>
    </row>
    <row r="580" spans="1:771 1026:1795 2050:2819 3074:3843 4098:4867 5122:5891 6146:6915 7170:7939 8194:8963 9218:9987 10242:11011 11266:12035 12290:13059 13314:14083 14338:15107 15362:16131" s="77" customFormat="1" x14ac:dyDescent="0.3">
      <c r="A580" s="36"/>
      <c r="B580" s="37"/>
      <c r="C580" s="75" t="s">
        <v>497</v>
      </c>
      <c r="D580" s="76" t="s">
        <v>21</v>
      </c>
      <c r="E580" s="73">
        <v>1</v>
      </c>
      <c r="F580" s="74">
        <v>240000</v>
      </c>
      <c r="G580" s="40">
        <f>E580*F580</f>
        <v>240000</v>
      </c>
      <c r="H580" s="52"/>
    </row>
    <row r="581" spans="1:771 1026:1795 2050:2819 3074:3843 4098:4867 5122:5891 6146:6915 7170:7939 8194:8963 9218:9987 10242:11011 11266:12035 12290:13059 13314:14083 14338:15107 15362:16131" s="77" customFormat="1" x14ac:dyDescent="0.3">
      <c r="A581" s="36"/>
      <c r="B581" s="37"/>
      <c r="C581" s="75" t="s">
        <v>196</v>
      </c>
      <c r="D581" s="76" t="s">
        <v>22</v>
      </c>
      <c r="E581" s="73">
        <v>2</v>
      </c>
      <c r="F581" s="74">
        <v>20000</v>
      </c>
      <c r="G581" s="40">
        <f>E581*F581</f>
        <v>40000</v>
      </c>
      <c r="H581" s="52"/>
    </row>
    <row r="582" spans="1:771 1026:1795 2050:2819 3074:3843 4098:4867 5122:5891 6146:6915 7170:7939 8194:8963 9218:9987 10242:11011 11266:12035 12290:13059 13314:14083 14338:15107 15362:16131" s="35" customFormat="1" x14ac:dyDescent="0.3">
      <c r="A582" s="36"/>
      <c r="B582" s="46"/>
      <c r="C582" s="51" t="s">
        <v>23</v>
      </c>
      <c r="D582" s="39"/>
      <c r="E582" s="1"/>
      <c r="F582" s="2"/>
      <c r="G582" s="41">
        <f>SUM(G583)</f>
        <v>3060000</v>
      </c>
      <c r="H582" s="52"/>
    </row>
    <row r="583" spans="1:771 1026:1795 2050:2819 3074:3843 4098:4867 5122:5891 6146:6915 7170:7939 8194:8963 9218:9987 10242:11011 11266:12035 12290:13059 13314:14083 14338:15107 15362:16131" s="35" customFormat="1" x14ac:dyDescent="0.3">
      <c r="A583" s="36"/>
      <c r="B583" s="46"/>
      <c r="C583" s="50" t="s">
        <v>24</v>
      </c>
      <c r="D583" s="39" t="s">
        <v>25</v>
      </c>
      <c r="E583" s="1">
        <f>1*30*6</f>
        <v>180</v>
      </c>
      <c r="F583" s="2">
        <v>17000</v>
      </c>
      <c r="G583" s="40">
        <f>E583*F583</f>
        <v>3060000</v>
      </c>
      <c r="H583" s="42"/>
    </row>
    <row r="584" spans="1:771 1026:1795 2050:2819 3074:3843 4098:4867 5122:5891 6146:6915 7170:7939 8194:8963 9218:9987 10242:11011 11266:12035 12290:13059 13314:14083 14338:15107 15362:16131" s="35" customFormat="1" ht="65.400000000000006" thickBot="1" x14ac:dyDescent="0.35">
      <c r="A584" s="53"/>
      <c r="B584" s="54"/>
      <c r="C584" s="55" t="s">
        <v>2331</v>
      </c>
      <c r="D584" s="56"/>
      <c r="E584" s="5"/>
      <c r="F584" s="6"/>
      <c r="G584" s="57"/>
      <c r="H584" s="58"/>
    </row>
    <row r="585" spans="1:771 1026:1795 2050:2819 3074:3843 4098:4867 5122:5891 6146:6915 7170:7939 8194:8963 9218:9987 10242:11011 11266:12035 12290:13059 13314:14083 14338:15107 15362:16131" s="59" customFormat="1" ht="31.8" thickBot="1" x14ac:dyDescent="0.35">
      <c r="A585" s="154"/>
      <c r="B585" s="155" t="s">
        <v>26</v>
      </c>
      <c r="C585" s="156"/>
      <c r="D585" s="154"/>
      <c r="E585" s="157"/>
      <c r="F585" s="158"/>
      <c r="G585" s="159">
        <f>SUM(G572:G584)/2</f>
        <v>131443044.40000001</v>
      </c>
      <c r="H585" s="160"/>
      <c r="IX585" s="35"/>
      <c r="IY585" s="35"/>
      <c r="ST585" s="35"/>
      <c r="SU585" s="35"/>
      <c r="ACP585" s="35"/>
      <c r="ACQ585" s="35"/>
      <c r="AML585" s="35"/>
      <c r="AMM585" s="35"/>
      <c r="AWH585" s="35"/>
      <c r="AWI585" s="35"/>
      <c r="BGD585" s="35"/>
      <c r="BGE585" s="35"/>
      <c r="BPZ585" s="35"/>
      <c r="BQA585" s="35"/>
      <c r="BZV585" s="35"/>
      <c r="BZW585" s="35"/>
      <c r="CJR585" s="35"/>
      <c r="CJS585" s="35"/>
      <c r="CTN585" s="35"/>
      <c r="CTO585" s="35"/>
      <c r="DDJ585" s="35"/>
      <c r="DDK585" s="35"/>
      <c r="DNF585" s="35"/>
      <c r="DNG585" s="35"/>
      <c r="DXB585" s="35"/>
      <c r="DXC585" s="35"/>
      <c r="EGX585" s="35"/>
      <c r="EGY585" s="35"/>
      <c r="EQT585" s="35"/>
      <c r="EQU585" s="35"/>
      <c r="FAP585" s="35"/>
      <c r="FAQ585" s="35"/>
      <c r="FKL585" s="35"/>
      <c r="FKM585" s="35"/>
      <c r="FUH585" s="35"/>
      <c r="FUI585" s="35"/>
      <c r="GED585" s="35"/>
      <c r="GEE585" s="35"/>
      <c r="GNZ585" s="35"/>
      <c r="GOA585" s="35"/>
      <c r="GXV585" s="35"/>
      <c r="GXW585" s="35"/>
      <c r="HHR585" s="35"/>
      <c r="HHS585" s="35"/>
      <c r="HRN585" s="35"/>
      <c r="HRO585" s="35"/>
      <c r="IBJ585" s="35"/>
      <c r="IBK585" s="35"/>
      <c r="ILF585" s="35"/>
      <c r="ILG585" s="35"/>
      <c r="IVB585" s="35"/>
      <c r="IVC585" s="35"/>
      <c r="JEX585" s="35"/>
      <c r="JEY585" s="35"/>
      <c r="JOT585" s="35"/>
      <c r="JOU585" s="35"/>
      <c r="JYP585" s="35"/>
      <c r="JYQ585" s="35"/>
      <c r="KIL585" s="35"/>
      <c r="KIM585" s="35"/>
      <c r="KSH585" s="35"/>
      <c r="KSI585" s="35"/>
      <c r="LCD585" s="35"/>
      <c r="LCE585" s="35"/>
      <c r="LLZ585" s="35"/>
      <c r="LMA585" s="35"/>
      <c r="LVV585" s="35"/>
      <c r="LVW585" s="35"/>
      <c r="MFR585" s="35"/>
      <c r="MFS585" s="35"/>
      <c r="MPN585" s="35"/>
      <c r="MPO585" s="35"/>
      <c r="MZJ585" s="35"/>
      <c r="MZK585" s="35"/>
      <c r="NJF585" s="35"/>
      <c r="NJG585" s="35"/>
      <c r="NTB585" s="35"/>
      <c r="NTC585" s="35"/>
      <c r="OCX585" s="35"/>
      <c r="OCY585" s="35"/>
      <c r="OMT585" s="35"/>
      <c r="OMU585" s="35"/>
      <c r="OWP585" s="35"/>
      <c r="OWQ585" s="35"/>
      <c r="PGL585" s="35"/>
      <c r="PGM585" s="35"/>
      <c r="PQH585" s="35"/>
      <c r="PQI585" s="35"/>
      <c r="QAD585" s="35"/>
      <c r="QAE585" s="35"/>
      <c r="QJZ585" s="35"/>
      <c r="QKA585" s="35"/>
      <c r="QTV585" s="35"/>
      <c r="QTW585" s="35"/>
      <c r="RDR585" s="35"/>
      <c r="RDS585" s="35"/>
      <c r="RNN585" s="35"/>
      <c r="RNO585" s="35"/>
      <c r="RXJ585" s="35"/>
      <c r="RXK585" s="35"/>
      <c r="SHF585" s="35"/>
      <c r="SHG585" s="35"/>
      <c r="SRB585" s="35"/>
      <c r="SRC585" s="35"/>
      <c r="TAX585" s="35"/>
      <c r="TAY585" s="35"/>
      <c r="TKT585" s="35"/>
      <c r="TKU585" s="35"/>
      <c r="TUP585" s="35"/>
      <c r="TUQ585" s="35"/>
      <c r="UEL585" s="35"/>
      <c r="UEM585" s="35"/>
      <c r="UOH585" s="35"/>
      <c r="UOI585" s="35"/>
      <c r="UYD585" s="35"/>
      <c r="UYE585" s="35"/>
      <c r="VHZ585" s="35"/>
      <c r="VIA585" s="35"/>
      <c r="VRV585" s="35"/>
      <c r="VRW585" s="35"/>
      <c r="WBR585" s="35"/>
      <c r="WBS585" s="35"/>
      <c r="WLN585" s="35"/>
      <c r="WLO585" s="35"/>
      <c r="WVJ585" s="35"/>
      <c r="WVK585" s="35"/>
    </row>
    <row r="586" spans="1:771 1026:1795 2050:2819 3074:3843 4098:4867 5122:5891 6146:6915 7170:7939 8194:8963 9218:9987 10242:11011 11266:12035 12290:13059 13314:14083 14338:15107 15362:16131" s="35" customFormat="1" ht="69" x14ac:dyDescent="0.3">
      <c r="A586" s="28">
        <v>50</v>
      </c>
      <c r="B586" s="29" t="s">
        <v>498</v>
      </c>
      <c r="C586" s="30" t="s">
        <v>2253</v>
      </c>
      <c r="D586" s="31" t="s">
        <v>13</v>
      </c>
      <c r="E586" s="32">
        <v>8.5</v>
      </c>
      <c r="F586" s="33"/>
      <c r="G586" s="33"/>
      <c r="H586" s="34" t="s">
        <v>500</v>
      </c>
    </row>
    <row r="587" spans="1:771 1026:1795 2050:2819 3074:3843 4098:4867 5122:5891 6146:6915 7170:7939 8194:8963 9218:9987 10242:11011 11266:12035 12290:13059 13314:14083 14338:15107 15362:16131" s="35" customFormat="1" x14ac:dyDescent="0.3">
      <c r="A587" s="36"/>
      <c r="B587" s="72" t="s">
        <v>326</v>
      </c>
      <c r="C587" s="38" t="s">
        <v>14</v>
      </c>
      <c r="D587" s="39"/>
      <c r="E587" s="44"/>
      <c r="F587" s="40"/>
      <c r="G587" s="41">
        <f>SUM(G588)</f>
        <v>165571500</v>
      </c>
      <c r="H587" s="42"/>
    </row>
    <row r="588" spans="1:771 1026:1795 2050:2819 3074:3843 4098:4867 5122:5891 6146:6915 7170:7939 8194:8963 9218:9987 10242:11011 11266:12035 12290:13059 13314:14083 14338:15107 15362:16131" s="35" customFormat="1" ht="62.4" x14ac:dyDescent="0.3">
      <c r="A588" s="36"/>
      <c r="B588" s="72" t="s">
        <v>499</v>
      </c>
      <c r="C588" s="48" t="s">
        <v>38</v>
      </c>
      <c r="D588" s="39" t="s">
        <v>13</v>
      </c>
      <c r="E588" s="44">
        <v>8.5</v>
      </c>
      <c r="F588" s="153">
        <v>19479000</v>
      </c>
      <c r="G588" s="40">
        <f>E588*F588</f>
        <v>165571500</v>
      </c>
      <c r="H588" s="42"/>
    </row>
    <row r="589" spans="1:771 1026:1795 2050:2819 3074:3843 4098:4867 5122:5891 6146:6915 7170:7939 8194:8963 9218:9987 10242:11011 11266:12035 12290:13059 13314:14083 14338:15107 15362:16131" s="35" customFormat="1" x14ac:dyDescent="0.3">
      <c r="A589" s="36"/>
      <c r="B589" s="72" t="s">
        <v>492</v>
      </c>
      <c r="C589" s="47" t="s">
        <v>35</v>
      </c>
      <c r="D589" s="39"/>
      <c r="E589" s="73"/>
      <c r="F589" s="40"/>
      <c r="G589" s="41">
        <f>SUM(G590:G591)</f>
        <v>6010187.040000001</v>
      </c>
      <c r="H589" s="45"/>
    </row>
    <row r="590" spans="1:771 1026:1795 2050:2819 3074:3843 4098:4867 5122:5891 6146:6915 7170:7939 8194:8963 9218:9987 10242:11011 11266:12035 12290:13059 13314:14083 14338:15107 15362:16131" s="77" customFormat="1" ht="62.4" x14ac:dyDescent="0.3">
      <c r="A590" s="36"/>
      <c r="B590" s="75"/>
      <c r="C590" s="66" t="s">
        <v>501</v>
      </c>
      <c r="D590" s="76" t="s">
        <v>234</v>
      </c>
      <c r="E590" s="73">
        <f>((0.95+0.67)*4.23)/2</f>
        <v>3.4263000000000008</v>
      </c>
      <c r="F590" s="74">
        <f>3592000*40%</f>
        <v>1436800</v>
      </c>
      <c r="G590" s="40">
        <f>E590*F590</f>
        <v>4922907.8400000008</v>
      </c>
      <c r="H590" s="45" t="s">
        <v>2405</v>
      </c>
    </row>
    <row r="591" spans="1:771 1026:1795 2050:2819 3074:3843 4098:4867 5122:5891 6146:6915 7170:7939 8194:8963 9218:9987 10242:11011 11266:12035 12290:13059 13314:14083 14338:15107 15362:16131" s="77" customFormat="1" ht="31.2" x14ac:dyDescent="0.3">
      <c r="A591" s="36"/>
      <c r="B591" s="75"/>
      <c r="C591" s="66" t="s">
        <v>502</v>
      </c>
      <c r="D591" s="76" t="s">
        <v>234</v>
      </c>
      <c r="E591" s="73">
        <f>((1.05+1.33)*4.23)/2</f>
        <v>5.0337000000000005</v>
      </c>
      <c r="F591" s="74">
        <f>540000*40%</f>
        <v>216000</v>
      </c>
      <c r="G591" s="40">
        <f>E591*F591</f>
        <v>1087279.2000000002</v>
      </c>
      <c r="H591" s="45" t="s">
        <v>2374</v>
      </c>
    </row>
    <row r="592" spans="1:771 1026:1795 2050:2819 3074:3843 4098:4867 5122:5891 6146:6915 7170:7939 8194:8963 9218:9987 10242:11011 11266:12035 12290:13059 13314:14083 14338:15107 15362:16131" s="35" customFormat="1" ht="65.400000000000006" thickBot="1" x14ac:dyDescent="0.35">
      <c r="A592" s="53"/>
      <c r="B592" s="54"/>
      <c r="C592" s="55" t="s">
        <v>2331</v>
      </c>
      <c r="D592" s="56"/>
      <c r="E592" s="5"/>
      <c r="F592" s="6"/>
      <c r="G592" s="57"/>
      <c r="H592" s="58"/>
    </row>
    <row r="593" spans="1:771 1026:1795 2050:2819 3074:3843 4098:4867 5122:5891 6146:6915 7170:7939 8194:8963 9218:9987 10242:11011 11266:12035 12290:13059 13314:14083 14338:15107 15362:16131" s="59" customFormat="1" ht="31.8" thickBot="1" x14ac:dyDescent="0.35">
      <c r="A593" s="154"/>
      <c r="B593" s="155" t="s">
        <v>26</v>
      </c>
      <c r="C593" s="156"/>
      <c r="D593" s="154"/>
      <c r="E593" s="157"/>
      <c r="F593" s="158"/>
      <c r="G593" s="159">
        <f>SUM(G586:G592)/2</f>
        <v>171581687.03999999</v>
      </c>
      <c r="H593" s="160"/>
      <c r="IX593" s="35"/>
      <c r="IY593" s="35"/>
      <c r="ST593" s="35"/>
      <c r="SU593" s="35"/>
      <c r="ACP593" s="35"/>
      <c r="ACQ593" s="35"/>
      <c r="AML593" s="35"/>
      <c r="AMM593" s="35"/>
      <c r="AWH593" s="35"/>
      <c r="AWI593" s="35"/>
      <c r="BGD593" s="35"/>
      <c r="BGE593" s="35"/>
      <c r="BPZ593" s="35"/>
      <c r="BQA593" s="35"/>
      <c r="BZV593" s="35"/>
      <c r="BZW593" s="35"/>
      <c r="CJR593" s="35"/>
      <c r="CJS593" s="35"/>
      <c r="CTN593" s="35"/>
      <c r="CTO593" s="35"/>
      <c r="DDJ593" s="35"/>
      <c r="DDK593" s="35"/>
      <c r="DNF593" s="35"/>
      <c r="DNG593" s="35"/>
      <c r="DXB593" s="35"/>
      <c r="DXC593" s="35"/>
      <c r="EGX593" s="35"/>
      <c r="EGY593" s="35"/>
      <c r="EQT593" s="35"/>
      <c r="EQU593" s="35"/>
      <c r="FAP593" s="35"/>
      <c r="FAQ593" s="35"/>
      <c r="FKL593" s="35"/>
      <c r="FKM593" s="35"/>
      <c r="FUH593" s="35"/>
      <c r="FUI593" s="35"/>
      <c r="GED593" s="35"/>
      <c r="GEE593" s="35"/>
      <c r="GNZ593" s="35"/>
      <c r="GOA593" s="35"/>
      <c r="GXV593" s="35"/>
      <c r="GXW593" s="35"/>
      <c r="HHR593" s="35"/>
      <c r="HHS593" s="35"/>
      <c r="HRN593" s="35"/>
      <c r="HRO593" s="35"/>
      <c r="IBJ593" s="35"/>
      <c r="IBK593" s="35"/>
      <c r="ILF593" s="35"/>
      <c r="ILG593" s="35"/>
      <c r="IVB593" s="35"/>
      <c r="IVC593" s="35"/>
      <c r="JEX593" s="35"/>
      <c r="JEY593" s="35"/>
      <c r="JOT593" s="35"/>
      <c r="JOU593" s="35"/>
      <c r="JYP593" s="35"/>
      <c r="JYQ593" s="35"/>
      <c r="KIL593" s="35"/>
      <c r="KIM593" s="35"/>
      <c r="KSH593" s="35"/>
      <c r="KSI593" s="35"/>
      <c r="LCD593" s="35"/>
      <c r="LCE593" s="35"/>
      <c r="LLZ593" s="35"/>
      <c r="LMA593" s="35"/>
      <c r="LVV593" s="35"/>
      <c r="LVW593" s="35"/>
      <c r="MFR593" s="35"/>
      <c r="MFS593" s="35"/>
      <c r="MPN593" s="35"/>
      <c r="MPO593" s="35"/>
      <c r="MZJ593" s="35"/>
      <c r="MZK593" s="35"/>
      <c r="NJF593" s="35"/>
      <c r="NJG593" s="35"/>
      <c r="NTB593" s="35"/>
      <c r="NTC593" s="35"/>
      <c r="OCX593" s="35"/>
      <c r="OCY593" s="35"/>
      <c r="OMT593" s="35"/>
      <c r="OMU593" s="35"/>
      <c r="OWP593" s="35"/>
      <c r="OWQ593" s="35"/>
      <c r="PGL593" s="35"/>
      <c r="PGM593" s="35"/>
      <c r="PQH593" s="35"/>
      <c r="PQI593" s="35"/>
      <c r="QAD593" s="35"/>
      <c r="QAE593" s="35"/>
      <c r="QJZ593" s="35"/>
      <c r="QKA593" s="35"/>
      <c r="QTV593" s="35"/>
      <c r="QTW593" s="35"/>
      <c r="RDR593" s="35"/>
      <c r="RDS593" s="35"/>
      <c r="RNN593" s="35"/>
      <c r="RNO593" s="35"/>
      <c r="RXJ593" s="35"/>
      <c r="RXK593" s="35"/>
      <c r="SHF593" s="35"/>
      <c r="SHG593" s="35"/>
      <c r="SRB593" s="35"/>
      <c r="SRC593" s="35"/>
      <c r="TAX593" s="35"/>
      <c r="TAY593" s="35"/>
      <c r="TKT593" s="35"/>
      <c r="TKU593" s="35"/>
      <c r="TUP593" s="35"/>
      <c r="TUQ593" s="35"/>
      <c r="UEL593" s="35"/>
      <c r="UEM593" s="35"/>
      <c r="UOH593" s="35"/>
      <c r="UOI593" s="35"/>
      <c r="UYD593" s="35"/>
      <c r="UYE593" s="35"/>
      <c r="VHZ593" s="35"/>
      <c r="VIA593" s="35"/>
      <c r="VRV593" s="35"/>
      <c r="VRW593" s="35"/>
      <c r="WBR593" s="35"/>
      <c r="WBS593" s="35"/>
      <c r="WLN593" s="35"/>
      <c r="WLO593" s="35"/>
      <c r="WVJ593" s="35"/>
      <c r="WVK593" s="35"/>
    </row>
    <row r="594" spans="1:771 1026:1795 2050:2819 3074:3843 4098:4867 5122:5891 6146:6915 7170:7939 8194:8963 9218:9987 10242:11011 11266:12035 12290:13059 13314:14083 14338:15107 15362:16131" s="35" customFormat="1" ht="69" x14ac:dyDescent="0.3">
      <c r="A594" s="28">
        <v>51</v>
      </c>
      <c r="B594" s="29" t="s">
        <v>503</v>
      </c>
      <c r="C594" s="30" t="s">
        <v>508</v>
      </c>
      <c r="D594" s="31" t="s">
        <v>13</v>
      </c>
      <c r="E594" s="32">
        <v>8.4</v>
      </c>
      <c r="F594" s="33"/>
      <c r="G594" s="33"/>
      <c r="H594" s="34" t="s">
        <v>507</v>
      </c>
    </row>
    <row r="595" spans="1:771 1026:1795 2050:2819 3074:3843 4098:4867 5122:5891 6146:6915 7170:7939 8194:8963 9218:9987 10242:11011 11266:12035 12290:13059 13314:14083 14338:15107 15362:16131" s="35" customFormat="1" x14ac:dyDescent="0.3">
      <c r="A595" s="36"/>
      <c r="B595" s="72" t="s">
        <v>504</v>
      </c>
      <c r="C595" s="38" t="s">
        <v>14</v>
      </c>
      <c r="D595" s="39"/>
      <c r="E595" s="44"/>
      <c r="F595" s="40"/>
      <c r="G595" s="41">
        <f>SUM(G596)</f>
        <v>87393600</v>
      </c>
      <c r="H595" s="42"/>
    </row>
    <row r="596" spans="1:771 1026:1795 2050:2819 3074:3843 4098:4867 5122:5891 6146:6915 7170:7939 8194:8963 9218:9987 10242:11011 11266:12035 12290:13059 13314:14083 14338:15107 15362:16131" s="35" customFormat="1" ht="62.4" x14ac:dyDescent="0.3">
      <c r="A596" s="36"/>
      <c r="B596" s="72" t="s">
        <v>505</v>
      </c>
      <c r="C596" s="43" t="s">
        <v>55</v>
      </c>
      <c r="D596" s="39" t="s">
        <v>13</v>
      </c>
      <c r="E596" s="73">
        <v>8.4</v>
      </c>
      <c r="F596" s="153">
        <v>10404000</v>
      </c>
      <c r="G596" s="40">
        <f>E596*F596</f>
        <v>87393600</v>
      </c>
      <c r="H596" s="42"/>
    </row>
    <row r="597" spans="1:771 1026:1795 2050:2819 3074:3843 4098:4867 5122:5891 6146:6915 7170:7939 8194:8963 9218:9987 10242:11011 11266:12035 12290:13059 13314:14083 14338:15107 15362:16131" s="35" customFormat="1" x14ac:dyDescent="0.3">
      <c r="A597" s="36"/>
      <c r="B597" s="72" t="s">
        <v>506</v>
      </c>
      <c r="C597" s="47" t="s">
        <v>35</v>
      </c>
      <c r="D597" s="39"/>
      <c r="E597" s="73"/>
      <c r="F597" s="40"/>
      <c r="G597" s="41">
        <f>SUM(G598)</f>
        <v>0</v>
      </c>
      <c r="H597" s="45"/>
    </row>
    <row r="598" spans="1:771 1026:1795 2050:2819 3074:3843 4098:4867 5122:5891 6146:6915 7170:7939 8194:8963 9218:9987 10242:11011 11266:12035 12290:13059 13314:14083 14338:15107 15362:16131" s="77" customFormat="1" ht="46.8" x14ac:dyDescent="0.3">
      <c r="A598" s="36"/>
      <c r="B598" s="75"/>
      <c r="C598" s="66" t="s">
        <v>509</v>
      </c>
      <c r="D598" s="76" t="s">
        <v>234</v>
      </c>
      <c r="E598" s="73">
        <v>8.4</v>
      </c>
      <c r="F598" s="74"/>
      <c r="G598" s="40">
        <f>E598*F598</f>
        <v>0</v>
      </c>
      <c r="H598" s="45" t="s">
        <v>2406</v>
      </c>
    </row>
    <row r="599" spans="1:771 1026:1795 2050:2819 3074:3843 4098:4867 5122:5891 6146:6915 7170:7939 8194:8963 9218:9987 10242:11011 11266:12035 12290:13059 13314:14083 14338:15107 15362:16131" s="35" customFormat="1" x14ac:dyDescent="0.3">
      <c r="A599" s="36"/>
      <c r="B599" s="46"/>
      <c r="C599" s="51" t="s">
        <v>23</v>
      </c>
      <c r="D599" s="39"/>
      <c r="E599" s="1"/>
      <c r="F599" s="2"/>
      <c r="G599" s="41">
        <f>SUM(G600)</f>
        <v>6120000</v>
      </c>
      <c r="H599" s="52"/>
    </row>
    <row r="600" spans="1:771 1026:1795 2050:2819 3074:3843 4098:4867 5122:5891 6146:6915 7170:7939 8194:8963 9218:9987 10242:11011 11266:12035 12290:13059 13314:14083 14338:15107 15362:16131" s="35" customFormat="1" x14ac:dyDescent="0.3">
      <c r="A600" s="36"/>
      <c r="B600" s="46"/>
      <c r="C600" s="50" t="s">
        <v>24</v>
      </c>
      <c r="D600" s="39" t="s">
        <v>25</v>
      </c>
      <c r="E600" s="1">
        <f>2*30*6</f>
        <v>360</v>
      </c>
      <c r="F600" s="2">
        <v>17000</v>
      </c>
      <c r="G600" s="40">
        <f>E600*F600</f>
        <v>6120000</v>
      </c>
      <c r="H600" s="42"/>
    </row>
    <row r="601" spans="1:771 1026:1795 2050:2819 3074:3843 4098:4867 5122:5891 6146:6915 7170:7939 8194:8963 9218:9987 10242:11011 11266:12035 12290:13059 13314:14083 14338:15107 15362:16131" s="35" customFormat="1" ht="65.400000000000006" thickBot="1" x14ac:dyDescent="0.35">
      <c r="A601" s="53"/>
      <c r="B601" s="54"/>
      <c r="C601" s="55" t="s">
        <v>2331</v>
      </c>
      <c r="D601" s="56"/>
      <c r="E601" s="5"/>
      <c r="F601" s="6"/>
      <c r="G601" s="57"/>
      <c r="H601" s="58"/>
    </row>
    <row r="602" spans="1:771 1026:1795 2050:2819 3074:3843 4098:4867 5122:5891 6146:6915 7170:7939 8194:8963 9218:9987 10242:11011 11266:12035 12290:13059 13314:14083 14338:15107 15362:16131" s="59" customFormat="1" ht="31.8" thickBot="1" x14ac:dyDescent="0.35">
      <c r="A602" s="154"/>
      <c r="B602" s="155" t="s">
        <v>26</v>
      </c>
      <c r="C602" s="156"/>
      <c r="D602" s="154"/>
      <c r="E602" s="157"/>
      <c r="F602" s="158"/>
      <c r="G602" s="159">
        <f>SUM(G594:G601)/2</f>
        <v>93513600</v>
      </c>
      <c r="H602" s="160"/>
      <c r="IX602" s="35"/>
      <c r="IY602" s="35"/>
      <c r="ST602" s="35"/>
      <c r="SU602" s="35"/>
      <c r="ACP602" s="35"/>
      <c r="ACQ602" s="35"/>
      <c r="AML602" s="35"/>
      <c r="AMM602" s="35"/>
      <c r="AWH602" s="35"/>
      <c r="AWI602" s="35"/>
      <c r="BGD602" s="35"/>
      <c r="BGE602" s="35"/>
      <c r="BPZ602" s="35"/>
      <c r="BQA602" s="35"/>
      <c r="BZV602" s="35"/>
      <c r="BZW602" s="35"/>
      <c r="CJR602" s="35"/>
      <c r="CJS602" s="35"/>
      <c r="CTN602" s="35"/>
      <c r="CTO602" s="35"/>
      <c r="DDJ602" s="35"/>
      <c r="DDK602" s="35"/>
      <c r="DNF602" s="35"/>
      <c r="DNG602" s="35"/>
      <c r="DXB602" s="35"/>
      <c r="DXC602" s="35"/>
      <c r="EGX602" s="35"/>
      <c r="EGY602" s="35"/>
      <c r="EQT602" s="35"/>
      <c r="EQU602" s="35"/>
      <c r="FAP602" s="35"/>
      <c r="FAQ602" s="35"/>
      <c r="FKL602" s="35"/>
      <c r="FKM602" s="35"/>
      <c r="FUH602" s="35"/>
      <c r="FUI602" s="35"/>
      <c r="GED602" s="35"/>
      <c r="GEE602" s="35"/>
      <c r="GNZ602" s="35"/>
      <c r="GOA602" s="35"/>
      <c r="GXV602" s="35"/>
      <c r="GXW602" s="35"/>
      <c r="HHR602" s="35"/>
      <c r="HHS602" s="35"/>
      <c r="HRN602" s="35"/>
      <c r="HRO602" s="35"/>
      <c r="IBJ602" s="35"/>
      <c r="IBK602" s="35"/>
      <c r="ILF602" s="35"/>
      <c r="ILG602" s="35"/>
      <c r="IVB602" s="35"/>
      <c r="IVC602" s="35"/>
      <c r="JEX602" s="35"/>
      <c r="JEY602" s="35"/>
      <c r="JOT602" s="35"/>
      <c r="JOU602" s="35"/>
      <c r="JYP602" s="35"/>
      <c r="JYQ602" s="35"/>
      <c r="KIL602" s="35"/>
      <c r="KIM602" s="35"/>
      <c r="KSH602" s="35"/>
      <c r="KSI602" s="35"/>
      <c r="LCD602" s="35"/>
      <c r="LCE602" s="35"/>
      <c r="LLZ602" s="35"/>
      <c r="LMA602" s="35"/>
      <c r="LVV602" s="35"/>
      <c r="LVW602" s="35"/>
      <c r="MFR602" s="35"/>
      <c r="MFS602" s="35"/>
      <c r="MPN602" s="35"/>
      <c r="MPO602" s="35"/>
      <c r="MZJ602" s="35"/>
      <c r="MZK602" s="35"/>
      <c r="NJF602" s="35"/>
      <c r="NJG602" s="35"/>
      <c r="NTB602" s="35"/>
      <c r="NTC602" s="35"/>
      <c r="OCX602" s="35"/>
      <c r="OCY602" s="35"/>
      <c r="OMT602" s="35"/>
      <c r="OMU602" s="35"/>
      <c r="OWP602" s="35"/>
      <c r="OWQ602" s="35"/>
      <c r="PGL602" s="35"/>
      <c r="PGM602" s="35"/>
      <c r="PQH602" s="35"/>
      <c r="PQI602" s="35"/>
      <c r="QAD602" s="35"/>
      <c r="QAE602" s="35"/>
      <c r="QJZ602" s="35"/>
      <c r="QKA602" s="35"/>
      <c r="QTV602" s="35"/>
      <c r="QTW602" s="35"/>
      <c r="RDR602" s="35"/>
      <c r="RDS602" s="35"/>
      <c r="RNN602" s="35"/>
      <c r="RNO602" s="35"/>
      <c r="RXJ602" s="35"/>
      <c r="RXK602" s="35"/>
      <c r="SHF602" s="35"/>
      <c r="SHG602" s="35"/>
      <c r="SRB602" s="35"/>
      <c r="SRC602" s="35"/>
      <c r="TAX602" s="35"/>
      <c r="TAY602" s="35"/>
      <c r="TKT602" s="35"/>
      <c r="TKU602" s="35"/>
      <c r="TUP602" s="35"/>
      <c r="TUQ602" s="35"/>
      <c r="UEL602" s="35"/>
      <c r="UEM602" s="35"/>
      <c r="UOH602" s="35"/>
      <c r="UOI602" s="35"/>
      <c r="UYD602" s="35"/>
      <c r="UYE602" s="35"/>
      <c r="VHZ602" s="35"/>
      <c r="VIA602" s="35"/>
      <c r="VRV602" s="35"/>
      <c r="VRW602" s="35"/>
      <c r="WBR602" s="35"/>
      <c r="WBS602" s="35"/>
      <c r="WLN602" s="35"/>
      <c r="WLO602" s="35"/>
      <c r="WVJ602" s="35"/>
      <c r="WVK602" s="35"/>
    </row>
    <row r="603" spans="1:771 1026:1795 2050:2819 3074:3843 4098:4867 5122:5891 6146:6915 7170:7939 8194:8963 9218:9987 10242:11011 11266:12035 12290:13059 13314:14083 14338:15107 15362:16131" s="35" customFormat="1" ht="69" x14ac:dyDescent="0.3">
      <c r="A603" s="28">
        <v>52</v>
      </c>
      <c r="B603" s="29" t="s">
        <v>2193</v>
      </c>
      <c r="C603" s="30" t="s">
        <v>514</v>
      </c>
      <c r="D603" s="31" t="s">
        <v>13</v>
      </c>
      <c r="E603" s="32">
        <v>15.9</v>
      </c>
      <c r="F603" s="33"/>
      <c r="G603" s="33"/>
      <c r="H603" s="34" t="s">
        <v>513</v>
      </c>
    </row>
    <row r="604" spans="1:771 1026:1795 2050:2819 3074:3843 4098:4867 5122:5891 6146:6915 7170:7939 8194:8963 9218:9987 10242:11011 11266:12035 12290:13059 13314:14083 14338:15107 15362:16131" s="35" customFormat="1" x14ac:dyDescent="0.3">
      <c r="A604" s="36"/>
      <c r="B604" s="72" t="s">
        <v>510</v>
      </c>
      <c r="C604" s="38" t="s">
        <v>14</v>
      </c>
      <c r="D604" s="39"/>
      <c r="E604" s="44"/>
      <c r="F604" s="40"/>
      <c r="G604" s="41">
        <f>SUM(G605)</f>
        <v>309716100</v>
      </c>
      <c r="H604" s="42"/>
    </row>
    <row r="605" spans="1:771 1026:1795 2050:2819 3074:3843 4098:4867 5122:5891 6146:6915 7170:7939 8194:8963 9218:9987 10242:11011 11266:12035 12290:13059 13314:14083 14338:15107 15362:16131" s="35" customFormat="1" ht="62.4" x14ac:dyDescent="0.3">
      <c r="A605" s="36"/>
      <c r="B605" s="72" t="s">
        <v>511</v>
      </c>
      <c r="C605" s="48" t="s">
        <v>38</v>
      </c>
      <c r="D605" s="39" t="s">
        <v>13</v>
      </c>
      <c r="E605" s="44">
        <v>15.9</v>
      </c>
      <c r="F605" s="161">
        <v>19479000</v>
      </c>
      <c r="G605" s="40">
        <f>E605*F605</f>
        <v>309716100</v>
      </c>
      <c r="H605" s="42"/>
    </row>
    <row r="606" spans="1:771 1026:1795 2050:2819 3074:3843 4098:4867 5122:5891 6146:6915 7170:7939 8194:8963 9218:9987 10242:11011 11266:12035 12290:13059 13314:14083 14338:15107 15362:16131" s="35" customFormat="1" x14ac:dyDescent="0.3">
      <c r="A606" s="36"/>
      <c r="B606" s="72" t="s">
        <v>512</v>
      </c>
      <c r="C606" s="47" t="s">
        <v>35</v>
      </c>
      <c r="D606" s="39"/>
      <c r="E606" s="73"/>
      <c r="F606" s="40"/>
      <c r="G606" s="41">
        <f>SUM(G607)</f>
        <v>12820460.999999998</v>
      </c>
      <c r="H606" s="45"/>
    </row>
    <row r="607" spans="1:771 1026:1795 2050:2819 3074:3843 4098:4867 5122:5891 6146:6915 7170:7939 8194:8963 9218:9987 10242:11011 11266:12035 12290:13059 13314:14083 14338:15107 15362:16131" s="77" customFormat="1" ht="41.4" x14ac:dyDescent="0.3">
      <c r="A607" s="36"/>
      <c r="B607" s="75"/>
      <c r="C607" s="66" t="s">
        <v>515</v>
      </c>
      <c r="D607" s="76" t="s">
        <v>234</v>
      </c>
      <c r="E607" s="73">
        <v>16.248999999999999</v>
      </c>
      <c r="F607" s="74">
        <v>789000</v>
      </c>
      <c r="G607" s="40">
        <f>E607*F607</f>
        <v>12820460.999999998</v>
      </c>
      <c r="H607" s="45" t="s">
        <v>2407</v>
      </c>
    </row>
    <row r="608" spans="1:771 1026:1795 2050:2819 3074:3843 4098:4867 5122:5891 6146:6915 7170:7939 8194:8963 9218:9987 10242:11011 11266:12035 12290:13059 13314:14083 14338:15107 15362:16131" s="35" customFormat="1" ht="65.400000000000006" thickBot="1" x14ac:dyDescent="0.35">
      <c r="A608" s="53"/>
      <c r="B608" s="54"/>
      <c r="C608" s="55" t="s">
        <v>2331</v>
      </c>
      <c r="D608" s="56"/>
      <c r="E608" s="5"/>
      <c r="F608" s="6"/>
      <c r="G608" s="57"/>
      <c r="H608" s="58"/>
    </row>
    <row r="609" spans="1:771 1026:1795 2050:2819 3074:3843 4098:4867 5122:5891 6146:6915 7170:7939 8194:8963 9218:9987 10242:11011 11266:12035 12290:13059 13314:14083 14338:15107 15362:16131" s="59" customFormat="1" ht="31.8" thickBot="1" x14ac:dyDescent="0.35">
      <c r="A609" s="154"/>
      <c r="B609" s="155" t="s">
        <v>26</v>
      </c>
      <c r="C609" s="156"/>
      <c r="D609" s="154"/>
      <c r="E609" s="157"/>
      <c r="F609" s="158"/>
      <c r="G609" s="159">
        <f>SUM(G603:G608)/2</f>
        <v>322536561</v>
      </c>
      <c r="H609" s="160"/>
      <c r="IX609" s="35"/>
      <c r="IY609" s="35"/>
      <c r="ST609" s="35"/>
      <c r="SU609" s="35"/>
      <c r="ACP609" s="35"/>
      <c r="ACQ609" s="35"/>
      <c r="AML609" s="35"/>
      <c r="AMM609" s="35"/>
      <c r="AWH609" s="35"/>
      <c r="AWI609" s="35"/>
      <c r="BGD609" s="35"/>
      <c r="BGE609" s="35"/>
      <c r="BPZ609" s="35"/>
      <c r="BQA609" s="35"/>
      <c r="BZV609" s="35"/>
      <c r="BZW609" s="35"/>
      <c r="CJR609" s="35"/>
      <c r="CJS609" s="35"/>
      <c r="CTN609" s="35"/>
      <c r="CTO609" s="35"/>
      <c r="DDJ609" s="35"/>
      <c r="DDK609" s="35"/>
      <c r="DNF609" s="35"/>
      <c r="DNG609" s="35"/>
      <c r="DXB609" s="35"/>
      <c r="DXC609" s="35"/>
      <c r="EGX609" s="35"/>
      <c r="EGY609" s="35"/>
      <c r="EQT609" s="35"/>
      <c r="EQU609" s="35"/>
      <c r="FAP609" s="35"/>
      <c r="FAQ609" s="35"/>
      <c r="FKL609" s="35"/>
      <c r="FKM609" s="35"/>
      <c r="FUH609" s="35"/>
      <c r="FUI609" s="35"/>
      <c r="GED609" s="35"/>
      <c r="GEE609" s="35"/>
      <c r="GNZ609" s="35"/>
      <c r="GOA609" s="35"/>
      <c r="GXV609" s="35"/>
      <c r="GXW609" s="35"/>
      <c r="HHR609" s="35"/>
      <c r="HHS609" s="35"/>
      <c r="HRN609" s="35"/>
      <c r="HRO609" s="35"/>
      <c r="IBJ609" s="35"/>
      <c r="IBK609" s="35"/>
      <c r="ILF609" s="35"/>
      <c r="ILG609" s="35"/>
      <c r="IVB609" s="35"/>
      <c r="IVC609" s="35"/>
      <c r="JEX609" s="35"/>
      <c r="JEY609" s="35"/>
      <c r="JOT609" s="35"/>
      <c r="JOU609" s="35"/>
      <c r="JYP609" s="35"/>
      <c r="JYQ609" s="35"/>
      <c r="KIL609" s="35"/>
      <c r="KIM609" s="35"/>
      <c r="KSH609" s="35"/>
      <c r="KSI609" s="35"/>
      <c r="LCD609" s="35"/>
      <c r="LCE609" s="35"/>
      <c r="LLZ609" s="35"/>
      <c r="LMA609" s="35"/>
      <c r="LVV609" s="35"/>
      <c r="LVW609" s="35"/>
      <c r="MFR609" s="35"/>
      <c r="MFS609" s="35"/>
      <c r="MPN609" s="35"/>
      <c r="MPO609" s="35"/>
      <c r="MZJ609" s="35"/>
      <c r="MZK609" s="35"/>
      <c r="NJF609" s="35"/>
      <c r="NJG609" s="35"/>
      <c r="NTB609" s="35"/>
      <c r="NTC609" s="35"/>
      <c r="OCX609" s="35"/>
      <c r="OCY609" s="35"/>
      <c r="OMT609" s="35"/>
      <c r="OMU609" s="35"/>
      <c r="OWP609" s="35"/>
      <c r="OWQ609" s="35"/>
      <c r="PGL609" s="35"/>
      <c r="PGM609" s="35"/>
      <c r="PQH609" s="35"/>
      <c r="PQI609" s="35"/>
      <c r="QAD609" s="35"/>
      <c r="QAE609" s="35"/>
      <c r="QJZ609" s="35"/>
      <c r="QKA609" s="35"/>
      <c r="QTV609" s="35"/>
      <c r="QTW609" s="35"/>
      <c r="RDR609" s="35"/>
      <c r="RDS609" s="35"/>
      <c r="RNN609" s="35"/>
      <c r="RNO609" s="35"/>
      <c r="RXJ609" s="35"/>
      <c r="RXK609" s="35"/>
      <c r="SHF609" s="35"/>
      <c r="SHG609" s="35"/>
      <c r="SRB609" s="35"/>
      <c r="SRC609" s="35"/>
      <c r="TAX609" s="35"/>
      <c r="TAY609" s="35"/>
      <c r="TKT609" s="35"/>
      <c r="TKU609" s="35"/>
      <c r="TUP609" s="35"/>
      <c r="TUQ609" s="35"/>
      <c r="UEL609" s="35"/>
      <c r="UEM609" s="35"/>
      <c r="UOH609" s="35"/>
      <c r="UOI609" s="35"/>
      <c r="UYD609" s="35"/>
      <c r="UYE609" s="35"/>
      <c r="VHZ609" s="35"/>
      <c r="VIA609" s="35"/>
      <c r="VRV609" s="35"/>
      <c r="VRW609" s="35"/>
      <c r="WBR609" s="35"/>
      <c r="WBS609" s="35"/>
      <c r="WLN609" s="35"/>
      <c r="WLO609" s="35"/>
      <c r="WVJ609" s="35"/>
      <c r="WVK609" s="35"/>
    </row>
    <row r="610" spans="1:771 1026:1795 2050:2819 3074:3843 4098:4867 5122:5891 6146:6915 7170:7939 8194:8963 9218:9987 10242:11011 11266:12035 12290:13059 13314:14083 14338:15107 15362:16131" s="35" customFormat="1" ht="82.8" x14ac:dyDescent="0.3">
      <c r="A610" s="28">
        <v>53</v>
      </c>
      <c r="B610" s="29" t="s">
        <v>516</v>
      </c>
      <c r="C610" s="30" t="s">
        <v>520</v>
      </c>
      <c r="D610" s="31" t="s">
        <v>13</v>
      </c>
      <c r="E610" s="32">
        <v>11.3</v>
      </c>
      <c r="F610" s="33"/>
      <c r="G610" s="33"/>
      <c r="H610" s="34" t="s">
        <v>521</v>
      </c>
    </row>
    <row r="611" spans="1:771 1026:1795 2050:2819 3074:3843 4098:4867 5122:5891 6146:6915 7170:7939 8194:8963 9218:9987 10242:11011 11266:12035 12290:13059 13314:14083 14338:15107 15362:16131" s="35" customFormat="1" x14ac:dyDescent="0.3">
      <c r="A611" s="36"/>
      <c r="B611" s="72" t="s">
        <v>517</v>
      </c>
      <c r="C611" s="38" t="s">
        <v>14</v>
      </c>
      <c r="D611" s="39"/>
      <c r="E611" s="44"/>
      <c r="F611" s="40"/>
      <c r="G611" s="41">
        <f>SUM(G612)</f>
        <v>117565200</v>
      </c>
      <c r="H611" s="42"/>
    </row>
    <row r="612" spans="1:771 1026:1795 2050:2819 3074:3843 4098:4867 5122:5891 6146:6915 7170:7939 8194:8963 9218:9987 10242:11011 11266:12035 12290:13059 13314:14083 14338:15107 15362:16131" s="35" customFormat="1" ht="62.4" x14ac:dyDescent="0.3">
      <c r="A612" s="36"/>
      <c r="B612" s="72" t="s">
        <v>518</v>
      </c>
      <c r="C612" s="43" t="s">
        <v>55</v>
      </c>
      <c r="D612" s="39" t="s">
        <v>13</v>
      </c>
      <c r="E612" s="73">
        <v>11.3</v>
      </c>
      <c r="F612" s="153">
        <v>10404000</v>
      </c>
      <c r="G612" s="40">
        <f>E612*F612</f>
        <v>117565200</v>
      </c>
      <c r="H612" s="42"/>
    </row>
    <row r="613" spans="1:771 1026:1795 2050:2819 3074:3843 4098:4867 5122:5891 6146:6915 7170:7939 8194:8963 9218:9987 10242:11011 11266:12035 12290:13059 13314:14083 14338:15107 15362:16131" s="35" customFormat="1" x14ac:dyDescent="0.3">
      <c r="A613" s="36"/>
      <c r="B613" s="72" t="s">
        <v>519</v>
      </c>
      <c r="C613" s="47" t="s">
        <v>35</v>
      </c>
      <c r="D613" s="39"/>
      <c r="E613" s="73"/>
      <c r="F613" s="40"/>
      <c r="G613" s="41">
        <f>SUM(G614:G616)</f>
        <v>30373690.400000002</v>
      </c>
      <c r="H613" s="45"/>
    </row>
    <row r="614" spans="1:771 1026:1795 2050:2819 3074:3843 4098:4867 5122:5891 6146:6915 7170:7939 8194:8963 9218:9987 10242:11011 11266:12035 12290:13059 13314:14083 14338:15107 15362:16131" s="35" customFormat="1" ht="93.6" x14ac:dyDescent="0.3">
      <c r="A614" s="36"/>
      <c r="B614" s="50"/>
      <c r="C614" s="66" t="s">
        <v>522</v>
      </c>
      <c r="D614" s="39" t="s">
        <v>234</v>
      </c>
      <c r="E614" s="73">
        <v>9.3190000000000008</v>
      </c>
      <c r="F614" s="40">
        <f>4594000*40%</f>
        <v>1837600</v>
      </c>
      <c r="G614" s="40">
        <f>E614*F614</f>
        <v>17124594.400000002</v>
      </c>
      <c r="H614" s="45" t="s">
        <v>2409</v>
      </c>
    </row>
    <row r="615" spans="1:771 1026:1795 2050:2819 3074:3843 4098:4867 5122:5891 6146:6915 7170:7939 8194:8963 9218:9987 10242:11011 11266:12035 12290:13059 13314:14083 14338:15107 15362:16131" s="35" customFormat="1" x14ac:dyDescent="0.3">
      <c r="A615" s="36"/>
      <c r="B615" s="50"/>
      <c r="C615" s="66" t="s">
        <v>2408</v>
      </c>
      <c r="D615" s="39" t="s">
        <v>234</v>
      </c>
      <c r="E615" s="73">
        <f>1.4*5.15</f>
        <v>7.21</v>
      </c>
      <c r="F615" s="40">
        <f>4594000*40%</f>
        <v>1837600</v>
      </c>
      <c r="G615" s="40">
        <f>E615*F615</f>
        <v>13249096</v>
      </c>
      <c r="H615" s="20" t="s">
        <v>2374</v>
      </c>
    </row>
    <row r="616" spans="1:771 1026:1795 2050:2819 3074:3843 4098:4867 5122:5891 6146:6915 7170:7939 8194:8963 9218:9987 10242:11011 11266:12035 12290:13059 13314:14083 14338:15107 15362:16131" s="77" customFormat="1" ht="31.2" x14ac:dyDescent="0.3">
      <c r="A616" s="36"/>
      <c r="B616" s="75"/>
      <c r="C616" s="66" t="s">
        <v>523</v>
      </c>
      <c r="D616" s="76" t="s">
        <v>234</v>
      </c>
      <c r="E616" s="73">
        <v>3.7930000000000001</v>
      </c>
      <c r="F616" s="74"/>
      <c r="G616" s="40">
        <f>E616*F616</f>
        <v>0</v>
      </c>
      <c r="H616" s="45" t="s">
        <v>2410</v>
      </c>
    </row>
    <row r="617" spans="1:771 1026:1795 2050:2819 3074:3843 4098:4867 5122:5891 6146:6915 7170:7939 8194:8963 9218:9987 10242:11011 11266:12035 12290:13059 13314:14083 14338:15107 15362:16131" s="35" customFormat="1" x14ac:dyDescent="0.3">
      <c r="A617" s="36"/>
      <c r="B617" s="46"/>
      <c r="C617" s="51" t="s">
        <v>23</v>
      </c>
      <c r="D617" s="39"/>
      <c r="E617" s="1"/>
      <c r="F617" s="2"/>
      <c r="G617" s="41">
        <f>SUM(G618)</f>
        <v>3060000</v>
      </c>
      <c r="H617" s="52"/>
    </row>
    <row r="618" spans="1:771 1026:1795 2050:2819 3074:3843 4098:4867 5122:5891 6146:6915 7170:7939 8194:8963 9218:9987 10242:11011 11266:12035 12290:13059 13314:14083 14338:15107 15362:16131" s="35" customFormat="1" x14ac:dyDescent="0.3">
      <c r="A618" s="36"/>
      <c r="B618" s="46"/>
      <c r="C618" s="50" t="s">
        <v>24</v>
      </c>
      <c r="D618" s="39" t="s">
        <v>25</v>
      </c>
      <c r="E618" s="1">
        <f>1*30*6</f>
        <v>180</v>
      </c>
      <c r="F618" s="2">
        <v>17000</v>
      </c>
      <c r="G618" s="40">
        <f>E618*F618</f>
        <v>3060000</v>
      </c>
      <c r="H618" s="42"/>
    </row>
    <row r="619" spans="1:771 1026:1795 2050:2819 3074:3843 4098:4867 5122:5891 6146:6915 7170:7939 8194:8963 9218:9987 10242:11011 11266:12035 12290:13059 13314:14083 14338:15107 15362:16131" s="35" customFormat="1" ht="65.400000000000006" thickBot="1" x14ac:dyDescent="0.35">
      <c r="A619" s="53"/>
      <c r="B619" s="54"/>
      <c r="C619" s="55" t="s">
        <v>2331</v>
      </c>
      <c r="D619" s="56"/>
      <c r="E619" s="5"/>
      <c r="F619" s="6"/>
      <c r="G619" s="57"/>
      <c r="H619" s="58"/>
    </row>
    <row r="620" spans="1:771 1026:1795 2050:2819 3074:3843 4098:4867 5122:5891 6146:6915 7170:7939 8194:8963 9218:9987 10242:11011 11266:12035 12290:13059 13314:14083 14338:15107 15362:16131" s="59" customFormat="1" ht="31.8" thickBot="1" x14ac:dyDescent="0.35">
      <c r="A620" s="154"/>
      <c r="B620" s="155" t="s">
        <v>26</v>
      </c>
      <c r="C620" s="156"/>
      <c r="D620" s="154"/>
      <c r="E620" s="157"/>
      <c r="F620" s="158"/>
      <c r="G620" s="159">
        <f>SUM(G610:G619)/2</f>
        <v>150998890.40000001</v>
      </c>
      <c r="H620" s="160"/>
      <c r="IX620" s="35"/>
      <c r="IY620" s="35"/>
      <c r="ST620" s="35"/>
      <c r="SU620" s="35"/>
      <c r="ACP620" s="35"/>
      <c r="ACQ620" s="35"/>
      <c r="AML620" s="35"/>
      <c r="AMM620" s="35"/>
      <c r="AWH620" s="35"/>
      <c r="AWI620" s="35"/>
      <c r="BGD620" s="35"/>
      <c r="BGE620" s="35"/>
      <c r="BPZ620" s="35"/>
      <c r="BQA620" s="35"/>
      <c r="BZV620" s="35"/>
      <c r="BZW620" s="35"/>
      <c r="CJR620" s="35"/>
      <c r="CJS620" s="35"/>
      <c r="CTN620" s="35"/>
      <c r="CTO620" s="35"/>
      <c r="DDJ620" s="35"/>
      <c r="DDK620" s="35"/>
      <c r="DNF620" s="35"/>
      <c r="DNG620" s="35"/>
      <c r="DXB620" s="35"/>
      <c r="DXC620" s="35"/>
      <c r="EGX620" s="35"/>
      <c r="EGY620" s="35"/>
      <c r="EQT620" s="35"/>
      <c r="EQU620" s="35"/>
      <c r="FAP620" s="35"/>
      <c r="FAQ620" s="35"/>
      <c r="FKL620" s="35"/>
      <c r="FKM620" s="35"/>
      <c r="FUH620" s="35"/>
      <c r="FUI620" s="35"/>
      <c r="GED620" s="35"/>
      <c r="GEE620" s="35"/>
      <c r="GNZ620" s="35"/>
      <c r="GOA620" s="35"/>
      <c r="GXV620" s="35"/>
      <c r="GXW620" s="35"/>
      <c r="HHR620" s="35"/>
      <c r="HHS620" s="35"/>
      <c r="HRN620" s="35"/>
      <c r="HRO620" s="35"/>
      <c r="IBJ620" s="35"/>
      <c r="IBK620" s="35"/>
      <c r="ILF620" s="35"/>
      <c r="ILG620" s="35"/>
      <c r="IVB620" s="35"/>
      <c r="IVC620" s="35"/>
      <c r="JEX620" s="35"/>
      <c r="JEY620" s="35"/>
      <c r="JOT620" s="35"/>
      <c r="JOU620" s="35"/>
      <c r="JYP620" s="35"/>
      <c r="JYQ620" s="35"/>
      <c r="KIL620" s="35"/>
      <c r="KIM620" s="35"/>
      <c r="KSH620" s="35"/>
      <c r="KSI620" s="35"/>
      <c r="LCD620" s="35"/>
      <c r="LCE620" s="35"/>
      <c r="LLZ620" s="35"/>
      <c r="LMA620" s="35"/>
      <c r="LVV620" s="35"/>
      <c r="LVW620" s="35"/>
      <c r="MFR620" s="35"/>
      <c r="MFS620" s="35"/>
      <c r="MPN620" s="35"/>
      <c r="MPO620" s="35"/>
      <c r="MZJ620" s="35"/>
      <c r="MZK620" s="35"/>
      <c r="NJF620" s="35"/>
      <c r="NJG620" s="35"/>
      <c r="NTB620" s="35"/>
      <c r="NTC620" s="35"/>
      <c r="OCX620" s="35"/>
      <c r="OCY620" s="35"/>
      <c r="OMT620" s="35"/>
      <c r="OMU620" s="35"/>
      <c r="OWP620" s="35"/>
      <c r="OWQ620" s="35"/>
      <c r="PGL620" s="35"/>
      <c r="PGM620" s="35"/>
      <c r="PQH620" s="35"/>
      <c r="PQI620" s="35"/>
      <c r="QAD620" s="35"/>
      <c r="QAE620" s="35"/>
      <c r="QJZ620" s="35"/>
      <c r="QKA620" s="35"/>
      <c r="QTV620" s="35"/>
      <c r="QTW620" s="35"/>
      <c r="RDR620" s="35"/>
      <c r="RDS620" s="35"/>
      <c r="RNN620" s="35"/>
      <c r="RNO620" s="35"/>
      <c r="RXJ620" s="35"/>
      <c r="RXK620" s="35"/>
      <c r="SHF620" s="35"/>
      <c r="SHG620" s="35"/>
      <c r="SRB620" s="35"/>
      <c r="SRC620" s="35"/>
      <c r="TAX620" s="35"/>
      <c r="TAY620" s="35"/>
      <c r="TKT620" s="35"/>
      <c r="TKU620" s="35"/>
      <c r="TUP620" s="35"/>
      <c r="TUQ620" s="35"/>
      <c r="UEL620" s="35"/>
      <c r="UEM620" s="35"/>
      <c r="UOH620" s="35"/>
      <c r="UOI620" s="35"/>
      <c r="UYD620" s="35"/>
      <c r="UYE620" s="35"/>
      <c r="VHZ620" s="35"/>
      <c r="VIA620" s="35"/>
      <c r="VRV620" s="35"/>
      <c r="VRW620" s="35"/>
      <c r="WBR620" s="35"/>
      <c r="WBS620" s="35"/>
      <c r="WLN620" s="35"/>
      <c r="WLO620" s="35"/>
      <c r="WVJ620" s="35"/>
      <c r="WVK620" s="35"/>
    </row>
    <row r="621" spans="1:771 1026:1795 2050:2819 3074:3843 4098:4867 5122:5891 6146:6915 7170:7939 8194:8963 9218:9987 10242:11011 11266:12035 12290:13059 13314:14083 14338:15107 15362:16131" s="35" customFormat="1" ht="69" x14ac:dyDescent="0.3">
      <c r="A621" s="28">
        <v>54</v>
      </c>
      <c r="B621" s="29" t="s">
        <v>524</v>
      </c>
      <c r="C621" s="30" t="s">
        <v>528</v>
      </c>
      <c r="D621" s="31" t="s">
        <v>13</v>
      </c>
      <c r="E621" s="32">
        <v>9</v>
      </c>
      <c r="F621" s="33"/>
      <c r="G621" s="33"/>
      <c r="H621" s="34" t="s">
        <v>529</v>
      </c>
    </row>
    <row r="622" spans="1:771 1026:1795 2050:2819 3074:3843 4098:4867 5122:5891 6146:6915 7170:7939 8194:8963 9218:9987 10242:11011 11266:12035 12290:13059 13314:14083 14338:15107 15362:16131" s="35" customFormat="1" x14ac:dyDescent="0.3">
      <c r="A622" s="36"/>
      <c r="B622" s="72" t="s">
        <v>525</v>
      </c>
      <c r="C622" s="38" t="s">
        <v>14</v>
      </c>
      <c r="D622" s="39"/>
      <c r="E622" s="44"/>
      <c r="F622" s="40"/>
      <c r="G622" s="41">
        <f>SUM(G623)</f>
        <v>175311000</v>
      </c>
      <c r="H622" s="42"/>
    </row>
    <row r="623" spans="1:771 1026:1795 2050:2819 3074:3843 4098:4867 5122:5891 6146:6915 7170:7939 8194:8963 9218:9987 10242:11011 11266:12035 12290:13059 13314:14083 14338:15107 15362:16131" s="35" customFormat="1" ht="62.4" x14ac:dyDescent="0.3">
      <c r="A623" s="36"/>
      <c r="B623" s="72" t="s">
        <v>526</v>
      </c>
      <c r="C623" s="48" t="s">
        <v>38</v>
      </c>
      <c r="D623" s="39" t="s">
        <v>13</v>
      </c>
      <c r="E623" s="44">
        <v>9</v>
      </c>
      <c r="F623" s="161">
        <v>19479000</v>
      </c>
      <c r="G623" s="40">
        <f>E623*F623</f>
        <v>175311000</v>
      </c>
      <c r="H623" s="42"/>
    </row>
    <row r="624" spans="1:771 1026:1795 2050:2819 3074:3843 4098:4867 5122:5891 6146:6915 7170:7939 8194:8963 9218:9987 10242:11011 11266:12035 12290:13059 13314:14083 14338:15107 15362:16131" s="35" customFormat="1" x14ac:dyDescent="0.3">
      <c r="A624" s="36"/>
      <c r="B624" s="72" t="s">
        <v>527</v>
      </c>
      <c r="C624" s="47" t="s">
        <v>35</v>
      </c>
      <c r="D624" s="39"/>
      <c r="E624" s="73"/>
      <c r="F624" s="40"/>
      <c r="G624" s="41">
        <f>SUM(G625:G626)</f>
        <v>25236750</v>
      </c>
      <c r="H624" s="45"/>
    </row>
    <row r="625" spans="1:771 1026:1795 2050:2819 3074:3843 4098:4867 5122:5891 6146:6915 7170:7939 8194:8963 9218:9987 10242:11011 11266:12035 12290:13059 13314:14083 14338:15107 15362:16131" s="35" customFormat="1" ht="93.6" x14ac:dyDescent="0.3">
      <c r="A625" s="36"/>
      <c r="B625" s="50"/>
      <c r="C625" s="66" t="s">
        <v>530</v>
      </c>
      <c r="D625" s="39" t="s">
        <v>234</v>
      </c>
      <c r="E625" s="73">
        <v>5.375</v>
      </c>
      <c r="F625" s="40">
        <v>4594000</v>
      </c>
      <c r="G625" s="40">
        <f>E625*F625</f>
        <v>24692750</v>
      </c>
      <c r="H625" s="45" t="s">
        <v>2411</v>
      </c>
    </row>
    <row r="626" spans="1:771 1026:1795 2050:2819 3074:3843 4098:4867 5122:5891 6146:6915 7170:7939 8194:8963 9218:9987 10242:11011 11266:12035 12290:13059 13314:14083 14338:15107 15362:16131" s="35" customFormat="1" x14ac:dyDescent="0.3">
      <c r="A626" s="36"/>
      <c r="B626" s="50"/>
      <c r="C626" s="66" t="s">
        <v>531</v>
      </c>
      <c r="D626" s="39" t="s">
        <v>234</v>
      </c>
      <c r="E626" s="73">
        <v>3.4</v>
      </c>
      <c r="F626" s="40">
        <v>160000</v>
      </c>
      <c r="G626" s="40">
        <f>E626*F626</f>
        <v>544000</v>
      </c>
      <c r="H626" s="45"/>
    </row>
    <row r="627" spans="1:771 1026:1795 2050:2819 3074:3843 4098:4867 5122:5891 6146:6915 7170:7939 8194:8963 9218:9987 10242:11011 11266:12035 12290:13059 13314:14083 14338:15107 15362:16131" s="35" customFormat="1" ht="65.400000000000006" thickBot="1" x14ac:dyDescent="0.35">
      <c r="A627" s="53"/>
      <c r="B627" s="54"/>
      <c r="C627" s="55" t="s">
        <v>2331</v>
      </c>
      <c r="D627" s="56"/>
      <c r="E627" s="5"/>
      <c r="F627" s="6"/>
      <c r="G627" s="57"/>
      <c r="H627" s="58"/>
    </row>
    <row r="628" spans="1:771 1026:1795 2050:2819 3074:3843 4098:4867 5122:5891 6146:6915 7170:7939 8194:8963 9218:9987 10242:11011 11266:12035 12290:13059 13314:14083 14338:15107 15362:16131" s="59" customFormat="1" ht="31.8" thickBot="1" x14ac:dyDescent="0.35">
      <c r="A628" s="154"/>
      <c r="B628" s="155" t="s">
        <v>26</v>
      </c>
      <c r="C628" s="156"/>
      <c r="D628" s="154"/>
      <c r="E628" s="157"/>
      <c r="F628" s="158"/>
      <c r="G628" s="159">
        <f>SUM(G621:G627)/2</f>
        <v>200547750</v>
      </c>
      <c r="H628" s="160"/>
      <c r="IX628" s="35"/>
      <c r="IY628" s="35"/>
      <c r="ST628" s="35"/>
      <c r="SU628" s="35"/>
      <c r="ACP628" s="35"/>
      <c r="ACQ628" s="35"/>
      <c r="AML628" s="35"/>
      <c r="AMM628" s="35"/>
      <c r="AWH628" s="35"/>
      <c r="AWI628" s="35"/>
      <c r="BGD628" s="35"/>
      <c r="BGE628" s="35"/>
      <c r="BPZ628" s="35"/>
      <c r="BQA628" s="35"/>
      <c r="BZV628" s="35"/>
      <c r="BZW628" s="35"/>
      <c r="CJR628" s="35"/>
      <c r="CJS628" s="35"/>
      <c r="CTN628" s="35"/>
      <c r="CTO628" s="35"/>
      <c r="DDJ628" s="35"/>
      <c r="DDK628" s="35"/>
      <c r="DNF628" s="35"/>
      <c r="DNG628" s="35"/>
      <c r="DXB628" s="35"/>
      <c r="DXC628" s="35"/>
      <c r="EGX628" s="35"/>
      <c r="EGY628" s="35"/>
      <c r="EQT628" s="35"/>
      <c r="EQU628" s="35"/>
      <c r="FAP628" s="35"/>
      <c r="FAQ628" s="35"/>
      <c r="FKL628" s="35"/>
      <c r="FKM628" s="35"/>
      <c r="FUH628" s="35"/>
      <c r="FUI628" s="35"/>
      <c r="GED628" s="35"/>
      <c r="GEE628" s="35"/>
      <c r="GNZ628" s="35"/>
      <c r="GOA628" s="35"/>
      <c r="GXV628" s="35"/>
      <c r="GXW628" s="35"/>
      <c r="HHR628" s="35"/>
      <c r="HHS628" s="35"/>
      <c r="HRN628" s="35"/>
      <c r="HRO628" s="35"/>
      <c r="IBJ628" s="35"/>
      <c r="IBK628" s="35"/>
      <c r="ILF628" s="35"/>
      <c r="ILG628" s="35"/>
      <c r="IVB628" s="35"/>
      <c r="IVC628" s="35"/>
      <c r="JEX628" s="35"/>
      <c r="JEY628" s="35"/>
      <c r="JOT628" s="35"/>
      <c r="JOU628" s="35"/>
      <c r="JYP628" s="35"/>
      <c r="JYQ628" s="35"/>
      <c r="KIL628" s="35"/>
      <c r="KIM628" s="35"/>
      <c r="KSH628" s="35"/>
      <c r="KSI628" s="35"/>
      <c r="LCD628" s="35"/>
      <c r="LCE628" s="35"/>
      <c r="LLZ628" s="35"/>
      <c r="LMA628" s="35"/>
      <c r="LVV628" s="35"/>
      <c r="LVW628" s="35"/>
      <c r="MFR628" s="35"/>
      <c r="MFS628" s="35"/>
      <c r="MPN628" s="35"/>
      <c r="MPO628" s="35"/>
      <c r="MZJ628" s="35"/>
      <c r="MZK628" s="35"/>
      <c r="NJF628" s="35"/>
      <c r="NJG628" s="35"/>
      <c r="NTB628" s="35"/>
      <c r="NTC628" s="35"/>
      <c r="OCX628" s="35"/>
      <c r="OCY628" s="35"/>
      <c r="OMT628" s="35"/>
      <c r="OMU628" s="35"/>
      <c r="OWP628" s="35"/>
      <c r="OWQ628" s="35"/>
      <c r="PGL628" s="35"/>
      <c r="PGM628" s="35"/>
      <c r="PQH628" s="35"/>
      <c r="PQI628" s="35"/>
      <c r="QAD628" s="35"/>
      <c r="QAE628" s="35"/>
      <c r="QJZ628" s="35"/>
      <c r="QKA628" s="35"/>
      <c r="QTV628" s="35"/>
      <c r="QTW628" s="35"/>
      <c r="RDR628" s="35"/>
      <c r="RDS628" s="35"/>
      <c r="RNN628" s="35"/>
      <c r="RNO628" s="35"/>
      <c r="RXJ628" s="35"/>
      <c r="RXK628" s="35"/>
      <c r="SHF628" s="35"/>
      <c r="SHG628" s="35"/>
      <c r="SRB628" s="35"/>
      <c r="SRC628" s="35"/>
      <c r="TAX628" s="35"/>
      <c r="TAY628" s="35"/>
      <c r="TKT628" s="35"/>
      <c r="TKU628" s="35"/>
      <c r="TUP628" s="35"/>
      <c r="TUQ628" s="35"/>
      <c r="UEL628" s="35"/>
      <c r="UEM628" s="35"/>
      <c r="UOH628" s="35"/>
      <c r="UOI628" s="35"/>
      <c r="UYD628" s="35"/>
      <c r="UYE628" s="35"/>
      <c r="VHZ628" s="35"/>
      <c r="VIA628" s="35"/>
      <c r="VRV628" s="35"/>
      <c r="VRW628" s="35"/>
      <c r="WBR628" s="35"/>
      <c r="WBS628" s="35"/>
      <c r="WLN628" s="35"/>
      <c r="WLO628" s="35"/>
      <c r="WVJ628" s="35"/>
      <c r="WVK628" s="35"/>
    </row>
    <row r="629" spans="1:771 1026:1795 2050:2819 3074:3843 4098:4867 5122:5891 6146:6915 7170:7939 8194:8963 9218:9987 10242:11011 11266:12035 12290:13059 13314:14083 14338:15107 15362:16131" s="35" customFormat="1" ht="69" x14ac:dyDescent="0.3">
      <c r="A629" s="28">
        <v>55</v>
      </c>
      <c r="B629" s="29" t="s">
        <v>532</v>
      </c>
      <c r="C629" s="30" t="s">
        <v>536</v>
      </c>
      <c r="D629" s="31" t="s">
        <v>13</v>
      </c>
      <c r="E629" s="32">
        <v>9.1</v>
      </c>
      <c r="F629" s="33"/>
      <c r="G629" s="33"/>
      <c r="H629" s="34" t="s">
        <v>537</v>
      </c>
    </row>
    <row r="630" spans="1:771 1026:1795 2050:2819 3074:3843 4098:4867 5122:5891 6146:6915 7170:7939 8194:8963 9218:9987 10242:11011 11266:12035 12290:13059 13314:14083 14338:15107 15362:16131" s="35" customFormat="1" x14ac:dyDescent="0.3">
      <c r="A630" s="36"/>
      <c r="B630" s="72" t="s">
        <v>533</v>
      </c>
      <c r="C630" s="38" t="s">
        <v>14</v>
      </c>
      <c r="D630" s="39"/>
      <c r="E630" s="44"/>
      <c r="F630" s="40"/>
      <c r="G630" s="41">
        <f>SUM(G631)</f>
        <v>177258900</v>
      </c>
      <c r="H630" s="42"/>
    </row>
    <row r="631" spans="1:771 1026:1795 2050:2819 3074:3843 4098:4867 5122:5891 6146:6915 7170:7939 8194:8963 9218:9987 10242:11011 11266:12035 12290:13059 13314:14083 14338:15107 15362:16131" s="35" customFormat="1" ht="62.4" x14ac:dyDescent="0.3">
      <c r="A631" s="36"/>
      <c r="B631" s="72" t="s">
        <v>534</v>
      </c>
      <c r="C631" s="48" t="s">
        <v>38</v>
      </c>
      <c r="D631" s="39" t="s">
        <v>13</v>
      </c>
      <c r="E631" s="44">
        <v>9.1</v>
      </c>
      <c r="F631" s="161">
        <v>19479000</v>
      </c>
      <c r="G631" s="40">
        <f>E631*F631</f>
        <v>177258900</v>
      </c>
      <c r="H631" s="42"/>
    </row>
    <row r="632" spans="1:771 1026:1795 2050:2819 3074:3843 4098:4867 5122:5891 6146:6915 7170:7939 8194:8963 9218:9987 10242:11011 11266:12035 12290:13059 13314:14083 14338:15107 15362:16131" s="35" customFormat="1" x14ac:dyDescent="0.3">
      <c r="A632" s="36"/>
      <c r="B632" s="72" t="s">
        <v>535</v>
      </c>
      <c r="C632" s="47" t="s">
        <v>35</v>
      </c>
      <c r="D632" s="39"/>
      <c r="E632" s="73"/>
      <c r="F632" s="40"/>
      <c r="G632" s="41">
        <f>SUM(G633:G635)</f>
        <v>12720364.800000001</v>
      </c>
      <c r="H632" s="45"/>
    </row>
    <row r="633" spans="1:771 1026:1795 2050:2819 3074:3843 4098:4867 5122:5891 6146:6915 7170:7939 8194:8963 9218:9987 10242:11011 11266:12035 12290:13059 13314:14083 14338:15107 15362:16131" s="35" customFormat="1" ht="124.8" x14ac:dyDescent="0.3">
      <c r="A633" s="36"/>
      <c r="B633" s="50"/>
      <c r="C633" s="66" t="s">
        <v>538</v>
      </c>
      <c r="D633" s="39" t="s">
        <v>234</v>
      </c>
      <c r="E633" s="73">
        <v>4.5510000000000002</v>
      </c>
      <c r="F633" s="40">
        <f>3592000*40%</f>
        <v>1436800</v>
      </c>
      <c r="G633" s="40">
        <f>E633*F633</f>
        <v>6538876.7999999998</v>
      </c>
      <c r="H633" s="45" t="s">
        <v>2412</v>
      </c>
    </row>
    <row r="634" spans="1:771 1026:1795 2050:2819 3074:3843 4098:4867 5122:5891 6146:6915 7170:7939 8194:8963 9218:9987 10242:11011 11266:12035 12290:13059 13314:14083 14338:15107 15362:16131" s="35" customFormat="1" x14ac:dyDescent="0.3">
      <c r="A634" s="36"/>
      <c r="B634" s="50"/>
      <c r="C634" s="66" t="s">
        <v>539</v>
      </c>
      <c r="D634" s="39" t="s">
        <v>234</v>
      </c>
      <c r="E634" s="73">
        <v>19.98</v>
      </c>
      <c r="F634" s="74">
        <v>258000</v>
      </c>
      <c r="G634" s="40">
        <f>E634*F634</f>
        <v>5154840</v>
      </c>
      <c r="H634" s="45"/>
    </row>
    <row r="635" spans="1:771 1026:1795 2050:2819 3074:3843 4098:4867 5122:5891 6146:6915 7170:7939 8194:8963 9218:9987 10242:11011 11266:12035 12290:13059 13314:14083 14338:15107 15362:16131" s="35" customFormat="1" ht="31.2" x14ac:dyDescent="0.3">
      <c r="A635" s="36"/>
      <c r="B635" s="50"/>
      <c r="C635" s="66" t="s">
        <v>540</v>
      </c>
      <c r="D635" s="39" t="s">
        <v>234</v>
      </c>
      <c r="E635" s="73">
        <v>4.7530000000000001</v>
      </c>
      <c r="F635" s="40">
        <f>540000*40%</f>
        <v>216000</v>
      </c>
      <c r="G635" s="40">
        <f>E635*F635</f>
        <v>1026648</v>
      </c>
      <c r="H635" s="20" t="s">
        <v>2374</v>
      </c>
    </row>
    <row r="636" spans="1:771 1026:1795 2050:2819 3074:3843 4098:4867 5122:5891 6146:6915 7170:7939 8194:8963 9218:9987 10242:11011 11266:12035 12290:13059 13314:14083 14338:15107 15362:16131" s="35" customFormat="1" ht="65.400000000000006" thickBot="1" x14ac:dyDescent="0.35">
      <c r="A636" s="53"/>
      <c r="B636" s="54"/>
      <c r="C636" s="55" t="s">
        <v>2331</v>
      </c>
      <c r="D636" s="56"/>
      <c r="E636" s="5"/>
      <c r="F636" s="6"/>
      <c r="G636" s="57"/>
      <c r="H636" s="58"/>
    </row>
    <row r="637" spans="1:771 1026:1795 2050:2819 3074:3843 4098:4867 5122:5891 6146:6915 7170:7939 8194:8963 9218:9987 10242:11011 11266:12035 12290:13059 13314:14083 14338:15107 15362:16131" s="59" customFormat="1" ht="31.8" thickBot="1" x14ac:dyDescent="0.35">
      <c r="A637" s="154"/>
      <c r="B637" s="155" t="s">
        <v>26</v>
      </c>
      <c r="C637" s="156"/>
      <c r="D637" s="154"/>
      <c r="E637" s="157"/>
      <c r="F637" s="158"/>
      <c r="G637" s="159">
        <f>SUM(G629:G636)/2</f>
        <v>189979264.80000001</v>
      </c>
      <c r="H637" s="160"/>
      <c r="IX637" s="35"/>
      <c r="IY637" s="35"/>
      <c r="ST637" s="35"/>
      <c r="SU637" s="35"/>
      <c r="ACP637" s="35"/>
      <c r="ACQ637" s="35"/>
      <c r="AML637" s="35"/>
      <c r="AMM637" s="35"/>
      <c r="AWH637" s="35"/>
      <c r="AWI637" s="35"/>
      <c r="BGD637" s="35"/>
      <c r="BGE637" s="35"/>
      <c r="BPZ637" s="35"/>
      <c r="BQA637" s="35"/>
      <c r="BZV637" s="35"/>
      <c r="BZW637" s="35"/>
      <c r="CJR637" s="35"/>
      <c r="CJS637" s="35"/>
      <c r="CTN637" s="35"/>
      <c r="CTO637" s="35"/>
      <c r="DDJ637" s="35"/>
      <c r="DDK637" s="35"/>
      <c r="DNF637" s="35"/>
      <c r="DNG637" s="35"/>
      <c r="DXB637" s="35"/>
      <c r="DXC637" s="35"/>
      <c r="EGX637" s="35"/>
      <c r="EGY637" s="35"/>
      <c r="EQT637" s="35"/>
      <c r="EQU637" s="35"/>
      <c r="FAP637" s="35"/>
      <c r="FAQ637" s="35"/>
      <c r="FKL637" s="35"/>
      <c r="FKM637" s="35"/>
      <c r="FUH637" s="35"/>
      <c r="FUI637" s="35"/>
      <c r="GED637" s="35"/>
      <c r="GEE637" s="35"/>
      <c r="GNZ637" s="35"/>
      <c r="GOA637" s="35"/>
      <c r="GXV637" s="35"/>
      <c r="GXW637" s="35"/>
      <c r="HHR637" s="35"/>
      <c r="HHS637" s="35"/>
      <c r="HRN637" s="35"/>
      <c r="HRO637" s="35"/>
      <c r="IBJ637" s="35"/>
      <c r="IBK637" s="35"/>
      <c r="ILF637" s="35"/>
      <c r="ILG637" s="35"/>
      <c r="IVB637" s="35"/>
      <c r="IVC637" s="35"/>
      <c r="JEX637" s="35"/>
      <c r="JEY637" s="35"/>
      <c r="JOT637" s="35"/>
      <c r="JOU637" s="35"/>
      <c r="JYP637" s="35"/>
      <c r="JYQ637" s="35"/>
      <c r="KIL637" s="35"/>
      <c r="KIM637" s="35"/>
      <c r="KSH637" s="35"/>
      <c r="KSI637" s="35"/>
      <c r="LCD637" s="35"/>
      <c r="LCE637" s="35"/>
      <c r="LLZ637" s="35"/>
      <c r="LMA637" s="35"/>
      <c r="LVV637" s="35"/>
      <c r="LVW637" s="35"/>
      <c r="MFR637" s="35"/>
      <c r="MFS637" s="35"/>
      <c r="MPN637" s="35"/>
      <c r="MPO637" s="35"/>
      <c r="MZJ637" s="35"/>
      <c r="MZK637" s="35"/>
      <c r="NJF637" s="35"/>
      <c r="NJG637" s="35"/>
      <c r="NTB637" s="35"/>
      <c r="NTC637" s="35"/>
      <c r="OCX637" s="35"/>
      <c r="OCY637" s="35"/>
      <c r="OMT637" s="35"/>
      <c r="OMU637" s="35"/>
      <c r="OWP637" s="35"/>
      <c r="OWQ637" s="35"/>
      <c r="PGL637" s="35"/>
      <c r="PGM637" s="35"/>
      <c r="PQH637" s="35"/>
      <c r="PQI637" s="35"/>
      <c r="QAD637" s="35"/>
      <c r="QAE637" s="35"/>
      <c r="QJZ637" s="35"/>
      <c r="QKA637" s="35"/>
      <c r="QTV637" s="35"/>
      <c r="QTW637" s="35"/>
      <c r="RDR637" s="35"/>
      <c r="RDS637" s="35"/>
      <c r="RNN637" s="35"/>
      <c r="RNO637" s="35"/>
      <c r="RXJ637" s="35"/>
      <c r="RXK637" s="35"/>
      <c r="SHF637" s="35"/>
      <c r="SHG637" s="35"/>
      <c r="SRB637" s="35"/>
      <c r="SRC637" s="35"/>
      <c r="TAX637" s="35"/>
      <c r="TAY637" s="35"/>
      <c r="TKT637" s="35"/>
      <c r="TKU637" s="35"/>
      <c r="TUP637" s="35"/>
      <c r="TUQ637" s="35"/>
      <c r="UEL637" s="35"/>
      <c r="UEM637" s="35"/>
      <c r="UOH637" s="35"/>
      <c r="UOI637" s="35"/>
      <c r="UYD637" s="35"/>
      <c r="UYE637" s="35"/>
      <c r="VHZ637" s="35"/>
      <c r="VIA637" s="35"/>
      <c r="VRV637" s="35"/>
      <c r="VRW637" s="35"/>
      <c r="WBR637" s="35"/>
      <c r="WBS637" s="35"/>
      <c r="WLN637" s="35"/>
      <c r="WLO637" s="35"/>
      <c r="WVJ637" s="35"/>
      <c r="WVK637" s="35"/>
    </row>
    <row r="638" spans="1:771 1026:1795 2050:2819 3074:3843 4098:4867 5122:5891 6146:6915 7170:7939 8194:8963 9218:9987 10242:11011 11266:12035 12290:13059 13314:14083 14338:15107 15362:16131" s="35" customFormat="1" ht="69" x14ac:dyDescent="0.3">
      <c r="A638" s="28">
        <v>56</v>
      </c>
      <c r="B638" s="29" t="s">
        <v>2194</v>
      </c>
      <c r="C638" s="30" t="s">
        <v>2198</v>
      </c>
      <c r="D638" s="31" t="s">
        <v>13</v>
      </c>
      <c r="E638" s="32">
        <v>6.5</v>
      </c>
      <c r="F638" s="33"/>
      <c r="G638" s="33"/>
      <c r="H638" s="34" t="s">
        <v>2199</v>
      </c>
    </row>
    <row r="639" spans="1:771 1026:1795 2050:2819 3074:3843 4098:4867 5122:5891 6146:6915 7170:7939 8194:8963 9218:9987 10242:11011 11266:12035 12290:13059 13314:14083 14338:15107 15362:16131" s="35" customFormat="1" x14ac:dyDescent="0.3">
      <c r="A639" s="36"/>
      <c r="B639" s="72" t="s">
        <v>2195</v>
      </c>
      <c r="C639" s="38" t="s">
        <v>14</v>
      </c>
      <c r="D639" s="39"/>
      <c r="E639" s="44"/>
      <c r="F639" s="40"/>
      <c r="G639" s="41">
        <f>SUM(G640)</f>
        <v>126613500</v>
      </c>
      <c r="H639" s="42"/>
    </row>
    <row r="640" spans="1:771 1026:1795 2050:2819 3074:3843 4098:4867 5122:5891 6146:6915 7170:7939 8194:8963 9218:9987 10242:11011 11266:12035 12290:13059 13314:14083 14338:15107 15362:16131" s="35" customFormat="1" ht="46.8" x14ac:dyDescent="0.3">
      <c r="A640" s="36"/>
      <c r="B640" s="72" t="s">
        <v>2196</v>
      </c>
      <c r="C640" s="48" t="s">
        <v>38</v>
      </c>
      <c r="D640" s="39" t="s">
        <v>13</v>
      </c>
      <c r="E640" s="44">
        <v>6.5</v>
      </c>
      <c r="F640" s="161">
        <v>19479000</v>
      </c>
      <c r="G640" s="40">
        <f>E640*F640</f>
        <v>126613500</v>
      </c>
      <c r="H640" s="42"/>
    </row>
    <row r="641" spans="1:771 1026:1795 2050:2819 3074:3843 4098:4867 5122:5891 6146:6915 7170:7939 8194:8963 9218:9987 10242:11011 11266:12035 12290:13059 13314:14083 14338:15107 15362:16131" s="35" customFormat="1" x14ac:dyDescent="0.3">
      <c r="A641" s="36"/>
      <c r="B641" s="72"/>
      <c r="C641" s="47" t="s">
        <v>35</v>
      </c>
      <c r="D641" s="39"/>
      <c r="E641" s="44"/>
      <c r="F641" s="153"/>
      <c r="G641" s="41">
        <f>SUM(G642:G643)</f>
        <v>8057200.0000000009</v>
      </c>
      <c r="H641" s="42"/>
    </row>
    <row r="642" spans="1:771 1026:1795 2050:2819 3074:3843 4098:4867 5122:5891 6146:6915 7170:7939 8194:8963 9218:9987 10242:11011 11266:12035 12290:13059 13314:14083 14338:15107 15362:16131" s="35" customFormat="1" ht="93.6" x14ac:dyDescent="0.3">
      <c r="A642" s="36"/>
      <c r="B642" s="72" t="s">
        <v>2197</v>
      </c>
      <c r="C642" s="86" t="s">
        <v>2200</v>
      </c>
      <c r="D642" s="39" t="s">
        <v>13</v>
      </c>
      <c r="E642" s="73">
        <f>1.35*4</f>
        <v>5.4</v>
      </c>
      <c r="F642" s="40">
        <f>3592000*40%</f>
        <v>1436800</v>
      </c>
      <c r="G642" s="40">
        <f>E642*F642</f>
        <v>7758720.0000000009</v>
      </c>
      <c r="H642" s="42" t="s">
        <v>2413</v>
      </c>
    </row>
    <row r="643" spans="1:771 1026:1795 2050:2819 3074:3843 4098:4867 5122:5891 6146:6915 7170:7939 8194:8963 9218:9987 10242:11011 11266:12035 12290:13059 13314:14083 14338:15107 15362:16131" s="35" customFormat="1" ht="18.600000000000001" x14ac:dyDescent="0.3">
      <c r="A643" s="36"/>
      <c r="B643" s="50"/>
      <c r="C643" s="66" t="s">
        <v>18</v>
      </c>
      <c r="D643" s="39" t="s">
        <v>13</v>
      </c>
      <c r="E643" s="73">
        <v>7.28</v>
      </c>
      <c r="F643" s="40">
        <v>41000</v>
      </c>
      <c r="G643" s="40">
        <f>E643*F643</f>
        <v>298480</v>
      </c>
      <c r="H643" s="45"/>
    </row>
    <row r="644" spans="1:771 1026:1795 2050:2819 3074:3843 4098:4867 5122:5891 6146:6915 7170:7939 8194:8963 9218:9987 10242:11011 11266:12035 12290:13059 13314:14083 14338:15107 15362:16131" s="35" customFormat="1" ht="65.400000000000006" thickBot="1" x14ac:dyDescent="0.35">
      <c r="A644" s="53"/>
      <c r="B644" s="54"/>
      <c r="C644" s="55" t="s">
        <v>2331</v>
      </c>
      <c r="D644" s="56"/>
      <c r="E644" s="5"/>
      <c r="F644" s="6"/>
      <c r="G644" s="40"/>
      <c r="H644" s="58"/>
    </row>
    <row r="645" spans="1:771 1026:1795 2050:2819 3074:3843 4098:4867 5122:5891 6146:6915 7170:7939 8194:8963 9218:9987 10242:11011 11266:12035 12290:13059 13314:14083 14338:15107 15362:16131" s="59" customFormat="1" ht="31.8" thickBot="1" x14ac:dyDescent="0.35">
      <c r="A645" s="154"/>
      <c r="B645" s="155" t="s">
        <v>26</v>
      </c>
      <c r="C645" s="156"/>
      <c r="D645" s="154"/>
      <c r="E645" s="157"/>
      <c r="F645" s="158"/>
      <c r="G645" s="159">
        <f>SUM(G638:G644)/2</f>
        <v>134670700</v>
      </c>
      <c r="H645" s="160"/>
      <c r="IX645" s="35"/>
      <c r="IY645" s="35"/>
      <c r="ST645" s="35"/>
      <c r="SU645" s="35"/>
      <c r="ACP645" s="35"/>
      <c r="ACQ645" s="35"/>
      <c r="AML645" s="35"/>
      <c r="AMM645" s="35"/>
      <c r="AWH645" s="35"/>
      <c r="AWI645" s="35"/>
      <c r="BGD645" s="35"/>
      <c r="BGE645" s="35"/>
      <c r="BPZ645" s="35"/>
      <c r="BQA645" s="35"/>
      <c r="BZV645" s="35"/>
      <c r="BZW645" s="35"/>
      <c r="CJR645" s="35"/>
      <c r="CJS645" s="35"/>
      <c r="CTN645" s="35"/>
      <c r="CTO645" s="35"/>
      <c r="DDJ645" s="35"/>
      <c r="DDK645" s="35"/>
      <c r="DNF645" s="35"/>
      <c r="DNG645" s="35"/>
      <c r="DXB645" s="35"/>
      <c r="DXC645" s="35"/>
      <c r="EGX645" s="35"/>
      <c r="EGY645" s="35"/>
      <c r="EQT645" s="35"/>
      <c r="EQU645" s="35"/>
      <c r="FAP645" s="35"/>
      <c r="FAQ645" s="35"/>
      <c r="FKL645" s="35"/>
      <c r="FKM645" s="35"/>
      <c r="FUH645" s="35"/>
      <c r="FUI645" s="35"/>
      <c r="GED645" s="35"/>
      <c r="GEE645" s="35"/>
      <c r="GNZ645" s="35"/>
      <c r="GOA645" s="35"/>
      <c r="GXV645" s="35"/>
      <c r="GXW645" s="35"/>
      <c r="HHR645" s="35"/>
      <c r="HHS645" s="35"/>
      <c r="HRN645" s="35"/>
      <c r="HRO645" s="35"/>
      <c r="IBJ645" s="35"/>
      <c r="IBK645" s="35"/>
      <c r="ILF645" s="35"/>
      <c r="ILG645" s="35"/>
      <c r="IVB645" s="35"/>
      <c r="IVC645" s="35"/>
      <c r="JEX645" s="35"/>
      <c r="JEY645" s="35"/>
      <c r="JOT645" s="35"/>
      <c r="JOU645" s="35"/>
      <c r="JYP645" s="35"/>
      <c r="JYQ645" s="35"/>
      <c r="KIL645" s="35"/>
      <c r="KIM645" s="35"/>
      <c r="KSH645" s="35"/>
      <c r="KSI645" s="35"/>
      <c r="LCD645" s="35"/>
      <c r="LCE645" s="35"/>
      <c r="LLZ645" s="35"/>
      <c r="LMA645" s="35"/>
      <c r="LVV645" s="35"/>
      <c r="LVW645" s="35"/>
      <c r="MFR645" s="35"/>
      <c r="MFS645" s="35"/>
      <c r="MPN645" s="35"/>
      <c r="MPO645" s="35"/>
      <c r="MZJ645" s="35"/>
      <c r="MZK645" s="35"/>
      <c r="NJF645" s="35"/>
      <c r="NJG645" s="35"/>
      <c r="NTB645" s="35"/>
      <c r="NTC645" s="35"/>
      <c r="OCX645" s="35"/>
      <c r="OCY645" s="35"/>
      <c r="OMT645" s="35"/>
      <c r="OMU645" s="35"/>
      <c r="OWP645" s="35"/>
      <c r="OWQ645" s="35"/>
      <c r="PGL645" s="35"/>
      <c r="PGM645" s="35"/>
      <c r="PQH645" s="35"/>
      <c r="PQI645" s="35"/>
      <c r="QAD645" s="35"/>
      <c r="QAE645" s="35"/>
      <c r="QJZ645" s="35"/>
      <c r="QKA645" s="35"/>
      <c r="QTV645" s="35"/>
      <c r="QTW645" s="35"/>
      <c r="RDR645" s="35"/>
      <c r="RDS645" s="35"/>
      <c r="RNN645" s="35"/>
      <c r="RNO645" s="35"/>
      <c r="RXJ645" s="35"/>
      <c r="RXK645" s="35"/>
      <c r="SHF645" s="35"/>
      <c r="SHG645" s="35"/>
      <c r="SRB645" s="35"/>
      <c r="SRC645" s="35"/>
      <c r="TAX645" s="35"/>
      <c r="TAY645" s="35"/>
      <c r="TKT645" s="35"/>
      <c r="TKU645" s="35"/>
      <c r="TUP645" s="35"/>
      <c r="TUQ645" s="35"/>
      <c r="UEL645" s="35"/>
      <c r="UEM645" s="35"/>
      <c r="UOH645" s="35"/>
      <c r="UOI645" s="35"/>
      <c r="UYD645" s="35"/>
      <c r="UYE645" s="35"/>
      <c r="VHZ645" s="35"/>
      <c r="VIA645" s="35"/>
      <c r="VRV645" s="35"/>
      <c r="VRW645" s="35"/>
      <c r="WBR645" s="35"/>
      <c r="WBS645" s="35"/>
      <c r="WLN645" s="35"/>
      <c r="WLO645" s="35"/>
      <c r="WVJ645" s="35"/>
      <c r="WVK645" s="35"/>
    </row>
    <row r="646" spans="1:771 1026:1795 2050:2819 3074:3843 4098:4867 5122:5891 6146:6915 7170:7939 8194:8963 9218:9987 10242:11011 11266:12035 12290:13059 13314:14083 14338:15107 15362:16131" s="35" customFormat="1" ht="110.4" x14ac:dyDescent="0.3">
      <c r="A646" s="28">
        <v>57</v>
      </c>
      <c r="B646" s="29" t="s">
        <v>541</v>
      </c>
      <c r="C646" s="30" t="s">
        <v>545</v>
      </c>
      <c r="D646" s="31" t="s">
        <v>13</v>
      </c>
      <c r="E646" s="32">
        <f>25.6+23.8</f>
        <v>49.400000000000006</v>
      </c>
      <c r="F646" s="33"/>
      <c r="G646" s="33"/>
      <c r="H646" s="34" t="s">
        <v>546</v>
      </c>
    </row>
    <row r="647" spans="1:771 1026:1795 2050:2819 3074:3843 4098:4867 5122:5891 6146:6915 7170:7939 8194:8963 9218:9987 10242:11011 11266:12035 12290:13059 13314:14083 14338:15107 15362:16131" s="35" customFormat="1" x14ac:dyDescent="0.3">
      <c r="A647" s="36"/>
      <c r="B647" s="72" t="s">
        <v>542</v>
      </c>
      <c r="C647" s="38" t="s">
        <v>14</v>
      </c>
      <c r="D647" s="39"/>
      <c r="E647" s="44"/>
      <c r="F647" s="40"/>
      <c r="G647" s="41">
        <f>SUM(G648)</f>
        <v>962262600.00000012</v>
      </c>
      <c r="H647" s="42"/>
    </row>
    <row r="648" spans="1:771 1026:1795 2050:2819 3074:3843 4098:4867 5122:5891 6146:6915 7170:7939 8194:8963 9218:9987 10242:11011 11266:12035 12290:13059 13314:14083 14338:15107 15362:16131" s="35" customFormat="1" ht="78" x14ac:dyDescent="0.3">
      <c r="A648" s="36"/>
      <c r="B648" s="72" t="s">
        <v>543</v>
      </c>
      <c r="C648" s="48" t="s">
        <v>38</v>
      </c>
      <c r="D648" s="39" t="s">
        <v>13</v>
      </c>
      <c r="E648" s="44">
        <f>25.6+23.8</f>
        <v>49.400000000000006</v>
      </c>
      <c r="F648" s="161">
        <v>19479000</v>
      </c>
      <c r="G648" s="40">
        <f>E648*F648</f>
        <v>962262600.00000012</v>
      </c>
      <c r="H648" s="42"/>
    </row>
    <row r="649" spans="1:771 1026:1795 2050:2819 3074:3843 4098:4867 5122:5891 6146:6915 7170:7939 8194:8963 9218:9987 10242:11011 11266:12035 12290:13059 13314:14083 14338:15107 15362:16131" s="35" customFormat="1" x14ac:dyDescent="0.3">
      <c r="A649" s="36"/>
      <c r="B649" s="72" t="s">
        <v>544</v>
      </c>
      <c r="C649" s="47" t="s">
        <v>35</v>
      </c>
      <c r="D649" s="39"/>
      <c r="E649" s="73"/>
      <c r="F649" s="40"/>
      <c r="G649" s="41">
        <f>SUM(G650:G665)</f>
        <v>53141549.920000002</v>
      </c>
      <c r="H649" s="45"/>
    </row>
    <row r="650" spans="1:771 1026:1795 2050:2819 3074:3843 4098:4867 5122:5891 6146:6915 7170:7939 8194:8963 9218:9987 10242:11011 11266:12035 12290:13059 13314:14083 14338:15107 15362:16131" s="35" customFormat="1" x14ac:dyDescent="0.3">
      <c r="A650" s="36"/>
      <c r="B650" s="50"/>
      <c r="C650" s="47" t="s">
        <v>547</v>
      </c>
      <c r="D650" s="39"/>
      <c r="E650" s="73"/>
      <c r="F650" s="40"/>
      <c r="G650" s="40"/>
      <c r="H650" s="45"/>
    </row>
    <row r="651" spans="1:771 1026:1795 2050:2819 3074:3843 4098:4867 5122:5891 6146:6915 7170:7939 8194:8963 9218:9987 10242:11011 11266:12035 12290:13059 13314:14083 14338:15107 15362:16131" s="35" customFormat="1" ht="93.6" x14ac:dyDescent="0.3">
      <c r="A651" s="36"/>
      <c r="B651" s="50"/>
      <c r="C651" s="66" t="s">
        <v>548</v>
      </c>
      <c r="D651" s="39" t="s">
        <v>234</v>
      </c>
      <c r="E651" s="73">
        <v>4.2</v>
      </c>
      <c r="F651" s="74">
        <v>3592000</v>
      </c>
      <c r="G651" s="40">
        <f>E651*F651</f>
        <v>15086400</v>
      </c>
      <c r="H651" s="45" t="s">
        <v>2414</v>
      </c>
    </row>
    <row r="652" spans="1:771 1026:1795 2050:2819 3074:3843 4098:4867 5122:5891 6146:6915 7170:7939 8194:8963 9218:9987 10242:11011 11266:12035 12290:13059 13314:14083 14338:15107 15362:16131" s="35" customFormat="1" ht="46.8" x14ac:dyDescent="0.3">
      <c r="A652" s="36"/>
      <c r="B652" s="50"/>
      <c r="C652" s="66" t="s">
        <v>554</v>
      </c>
      <c r="D652" s="39" t="s">
        <v>234</v>
      </c>
      <c r="E652" s="73">
        <v>13.98</v>
      </c>
      <c r="F652" s="40">
        <v>540000</v>
      </c>
      <c r="G652" s="40">
        <f>E652*F652</f>
        <v>7549200</v>
      </c>
      <c r="H652" s="45" t="s">
        <v>2375</v>
      </c>
    </row>
    <row r="653" spans="1:771 1026:1795 2050:2819 3074:3843 4098:4867 5122:5891 6146:6915 7170:7939 8194:8963 9218:9987 10242:11011 11266:12035 12290:13059 13314:14083 14338:15107 15362:16131" s="35" customFormat="1" x14ac:dyDescent="0.3">
      <c r="A653" s="36"/>
      <c r="B653" s="50"/>
      <c r="C653" s="66" t="s">
        <v>555</v>
      </c>
      <c r="D653" s="39" t="s">
        <v>234</v>
      </c>
      <c r="E653" s="73">
        <v>11.5</v>
      </c>
      <c r="F653" s="40">
        <v>100000</v>
      </c>
      <c r="G653" s="40">
        <f>E653*F653</f>
        <v>1150000</v>
      </c>
      <c r="H653" s="45"/>
    </row>
    <row r="654" spans="1:771 1026:1795 2050:2819 3074:3843 4098:4867 5122:5891 6146:6915 7170:7939 8194:8963 9218:9987 10242:11011 11266:12035 12290:13059 13314:14083 14338:15107 15362:16131" s="35" customFormat="1" ht="41.4" x14ac:dyDescent="0.3">
      <c r="A654" s="36"/>
      <c r="B654" s="50"/>
      <c r="C654" s="66" t="s">
        <v>558</v>
      </c>
      <c r="D654" s="39" t="s">
        <v>234</v>
      </c>
      <c r="E654" s="73">
        <v>19.66</v>
      </c>
      <c r="F654" s="40">
        <v>540000</v>
      </c>
      <c r="G654" s="40">
        <f>E654*F654</f>
        <v>10616400</v>
      </c>
      <c r="H654" s="45" t="s">
        <v>2415</v>
      </c>
    </row>
    <row r="655" spans="1:771 1026:1795 2050:2819 3074:3843 4098:4867 5122:5891 6146:6915 7170:7939 8194:8963 9218:9987 10242:11011 11266:12035 12290:13059 13314:14083 14338:15107 15362:16131" s="35" customFormat="1" x14ac:dyDescent="0.3">
      <c r="A655" s="36"/>
      <c r="B655" s="50"/>
      <c r="C655" s="66" t="s">
        <v>18</v>
      </c>
      <c r="D655" s="39" t="s">
        <v>234</v>
      </c>
      <c r="E655" s="73">
        <v>17.5</v>
      </c>
      <c r="F655" s="40">
        <v>41000</v>
      </c>
      <c r="G655" s="40">
        <f>E655*F655</f>
        <v>717500</v>
      </c>
      <c r="H655" s="45"/>
    </row>
    <row r="656" spans="1:771 1026:1795 2050:2819 3074:3843 4098:4867 5122:5891 6146:6915 7170:7939 8194:8963 9218:9987 10242:11011 11266:12035 12290:13059 13314:14083 14338:15107 15362:16131" s="35" customFormat="1" x14ac:dyDescent="0.3">
      <c r="A656" s="36"/>
      <c r="B656" s="50"/>
      <c r="C656" s="47" t="s">
        <v>549</v>
      </c>
      <c r="D656" s="39"/>
      <c r="E656" s="73"/>
      <c r="F656" s="74"/>
      <c r="G656" s="40"/>
      <c r="H656" s="45"/>
    </row>
    <row r="657" spans="1:771 1026:1795 2050:2819 3074:3843 4098:4867 5122:5891 6146:6915 7170:7939 8194:8963 9218:9987 10242:11011 11266:12035 12290:13059 13314:14083 14338:15107 15362:16131" s="35" customFormat="1" ht="46.8" x14ac:dyDescent="0.3">
      <c r="A657" s="36"/>
      <c r="B657" s="50"/>
      <c r="C657" s="66" t="s">
        <v>550</v>
      </c>
      <c r="D657" s="39" t="s">
        <v>234</v>
      </c>
      <c r="E657" s="73">
        <f>1.2*4.2/2</f>
        <v>2.52</v>
      </c>
      <c r="F657" s="40"/>
      <c r="G657" s="40">
        <f t="shared" ref="G657:G665" si="10">E657*F657</f>
        <v>0</v>
      </c>
      <c r="H657" s="45" t="s">
        <v>551</v>
      </c>
    </row>
    <row r="658" spans="1:771 1026:1795 2050:2819 3074:3843 4098:4867 5122:5891 6146:6915 7170:7939 8194:8963 9218:9987 10242:11011 11266:12035 12290:13059 13314:14083 14338:15107 15362:16131" s="35" customFormat="1" ht="46.8" x14ac:dyDescent="0.3">
      <c r="A658" s="36"/>
      <c r="B658" s="50"/>
      <c r="C658" s="66" t="s">
        <v>552</v>
      </c>
      <c r="D658" s="39" t="s">
        <v>234</v>
      </c>
      <c r="E658" s="73">
        <f>((0.4+1.8)*4.9)/2</f>
        <v>5.3900000000000006</v>
      </c>
      <c r="F658" s="40">
        <f>540000*40%</f>
        <v>216000</v>
      </c>
      <c r="G658" s="40">
        <f t="shared" si="10"/>
        <v>1164240.0000000002</v>
      </c>
      <c r="H658" s="35" t="s">
        <v>2374</v>
      </c>
    </row>
    <row r="659" spans="1:771 1026:1795 2050:2819 3074:3843 4098:4867 5122:5891 6146:6915 7170:7939 8194:8963 9218:9987 10242:11011 11266:12035 12290:13059 13314:14083 14338:15107 15362:16131" s="35" customFormat="1" ht="46.8" x14ac:dyDescent="0.3">
      <c r="A659" s="36"/>
      <c r="B659" s="50"/>
      <c r="C659" s="66" t="s">
        <v>553</v>
      </c>
      <c r="D659" s="39" t="s">
        <v>234</v>
      </c>
      <c r="E659" s="73">
        <v>10.971</v>
      </c>
      <c r="F659" s="40">
        <f>540000*40%</f>
        <v>216000</v>
      </c>
      <c r="G659" s="40">
        <f t="shared" si="10"/>
        <v>2369736</v>
      </c>
      <c r="H659" s="45" t="s">
        <v>2416</v>
      </c>
    </row>
    <row r="660" spans="1:771 1026:1795 2050:2819 3074:3843 4098:4867 5122:5891 6146:6915 7170:7939 8194:8963 9218:9987 10242:11011 11266:12035 12290:13059 13314:14083 14338:15107 15362:16131" s="35" customFormat="1" x14ac:dyDescent="0.3">
      <c r="A660" s="36"/>
      <c r="B660" s="50"/>
      <c r="C660" s="66" t="s">
        <v>187</v>
      </c>
      <c r="D660" s="39" t="s">
        <v>231</v>
      </c>
      <c r="E660" s="73">
        <f>(0.43*0.43*2.2)*2+(0.3*0.3*1.9)+(0.3*0.3*1.9)+(2.2*0.47*0.47)*2</f>
        <v>2.1275199999999996</v>
      </c>
      <c r="F660" s="40">
        <v>1946000</v>
      </c>
      <c r="G660" s="40">
        <f t="shared" si="10"/>
        <v>4140153.9199999995</v>
      </c>
      <c r="H660" s="45"/>
    </row>
    <row r="661" spans="1:771 1026:1795 2050:2819 3074:3843 4098:4867 5122:5891 6146:6915 7170:7939 8194:8963 9218:9987 10242:11011 11266:12035 12290:13059 13314:14083 14338:15107 15362:16131" s="35" customFormat="1" x14ac:dyDescent="0.3">
      <c r="A661" s="36"/>
      <c r="B661" s="50"/>
      <c r="C661" s="66" t="s">
        <v>272</v>
      </c>
      <c r="D661" s="39" t="s">
        <v>234</v>
      </c>
      <c r="E661" s="73">
        <v>11.7</v>
      </c>
      <c r="F661" s="40">
        <v>400000</v>
      </c>
      <c r="G661" s="40">
        <f t="shared" si="10"/>
        <v>4680000</v>
      </c>
      <c r="H661" s="45"/>
    </row>
    <row r="662" spans="1:771 1026:1795 2050:2819 3074:3843 4098:4867 5122:5891 6146:6915 7170:7939 8194:8963 9218:9987 10242:11011 11266:12035 12290:13059 13314:14083 14338:15107 15362:16131" s="35" customFormat="1" x14ac:dyDescent="0.3">
      <c r="A662" s="36"/>
      <c r="B662" s="50"/>
      <c r="C662" s="66" t="s">
        <v>188</v>
      </c>
      <c r="D662" s="39" t="s">
        <v>234</v>
      </c>
      <c r="E662" s="73">
        <v>4.5599999999999996</v>
      </c>
      <c r="F662" s="40">
        <v>107000</v>
      </c>
      <c r="G662" s="40">
        <f t="shared" si="10"/>
        <v>487919.99999999994</v>
      </c>
      <c r="H662" s="45"/>
    </row>
    <row r="663" spans="1:771 1026:1795 2050:2819 3074:3843 4098:4867 5122:5891 6146:6915 7170:7939 8194:8963 9218:9987 10242:11011 11266:12035 12290:13059 13314:14083 14338:15107 15362:16131" s="35" customFormat="1" x14ac:dyDescent="0.3">
      <c r="A663" s="36"/>
      <c r="B663" s="50"/>
      <c r="C663" s="66" t="s">
        <v>556</v>
      </c>
      <c r="D663" s="39" t="s">
        <v>234</v>
      </c>
      <c r="E663" s="73">
        <v>32.56</v>
      </c>
      <c r="F663" s="40">
        <v>100000</v>
      </c>
      <c r="G663" s="40">
        <f t="shared" si="10"/>
        <v>3256000</v>
      </c>
      <c r="H663" s="45"/>
    </row>
    <row r="664" spans="1:771 1026:1795 2050:2819 3074:3843 4098:4867 5122:5891 6146:6915 7170:7939 8194:8963 9218:9987 10242:11011 11266:12035 12290:13059 13314:14083 14338:15107 15362:16131" s="35" customFormat="1" x14ac:dyDescent="0.3">
      <c r="A664" s="36"/>
      <c r="B664" s="50"/>
      <c r="C664" s="66" t="s">
        <v>555</v>
      </c>
      <c r="D664" s="39" t="s">
        <v>234</v>
      </c>
      <c r="E664" s="73">
        <v>4.96</v>
      </c>
      <c r="F664" s="40">
        <v>100000</v>
      </c>
      <c r="G664" s="40">
        <f t="shared" si="10"/>
        <v>496000</v>
      </c>
      <c r="H664" s="45"/>
    </row>
    <row r="665" spans="1:771 1026:1795 2050:2819 3074:3843 4098:4867 5122:5891 6146:6915 7170:7939 8194:8963 9218:9987 10242:11011 11266:12035 12290:13059 13314:14083 14338:15107 15362:16131" s="35" customFormat="1" x14ac:dyDescent="0.3">
      <c r="A665" s="36"/>
      <c r="B665" s="50"/>
      <c r="C665" s="66" t="s">
        <v>557</v>
      </c>
      <c r="D665" s="39" t="s">
        <v>234</v>
      </c>
      <c r="E665" s="73">
        <v>14.28</v>
      </c>
      <c r="F665" s="40">
        <v>100000</v>
      </c>
      <c r="G665" s="40">
        <f t="shared" si="10"/>
        <v>1428000</v>
      </c>
      <c r="H665" s="45"/>
    </row>
    <row r="666" spans="1:771 1026:1795 2050:2819 3074:3843 4098:4867 5122:5891 6146:6915 7170:7939 8194:8963 9218:9987 10242:11011 11266:12035 12290:13059 13314:14083 14338:15107 15362:16131" s="35" customFormat="1" x14ac:dyDescent="0.3">
      <c r="A666" s="36"/>
      <c r="B666" s="46"/>
      <c r="C666" s="51" t="s">
        <v>20</v>
      </c>
      <c r="D666" s="39"/>
      <c r="E666" s="73"/>
      <c r="F666" s="40"/>
      <c r="G666" s="41">
        <f>SUM(G667:G668)</f>
        <v>460000</v>
      </c>
      <c r="H666" s="52"/>
    </row>
    <row r="667" spans="1:771 1026:1795 2050:2819 3074:3843 4098:4867 5122:5891 6146:6915 7170:7939 8194:8963 9218:9987 10242:11011 11266:12035 12290:13059 13314:14083 14338:15107 15362:16131" s="35" customFormat="1" x14ac:dyDescent="0.3">
      <c r="A667" s="36"/>
      <c r="B667" s="46"/>
      <c r="C667" s="75" t="s">
        <v>559</v>
      </c>
      <c r="D667" s="39" t="s">
        <v>21</v>
      </c>
      <c r="E667" s="73">
        <v>1</v>
      </c>
      <c r="F667" s="40">
        <v>300000</v>
      </c>
      <c r="G667" s="40">
        <f>E667*F667</f>
        <v>300000</v>
      </c>
      <c r="H667" s="52"/>
    </row>
    <row r="668" spans="1:771 1026:1795 2050:2819 3074:3843 4098:4867 5122:5891 6146:6915 7170:7939 8194:8963 9218:9987 10242:11011 11266:12035 12290:13059 13314:14083 14338:15107 15362:16131" s="77" customFormat="1" x14ac:dyDescent="0.3">
      <c r="A668" s="36"/>
      <c r="B668" s="37"/>
      <c r="C668" s="75" t="s">
        <v>560</v>
      </c>
      <c r="D668" s="76" t="s">
        <v>21</v>
      </c>
      <c r="E668" s="73">
        <v>1</v>
      </c>
      <c r="F668" s="74">
        <v>160000</v>
      </c>
      <c r="G668" s="40">
        <f>E668*F668</f>
        <v>160000</v>
      </c>
      <c r="H668" s="52"/>
    </row>
    <row r="669" spans="1:771 1026:1795 2050:2819 3074:3843 4098:4867 5122:5891 6146:6915 7170:7939 8194:8963 9218:9987 10242:11011 11266:12035 12290:13059 13314:14083 14338:15107 15362:16131" s="35" customFormat="1" ht="65.400000000000006" thickBot="1" x14ac:dyDescent="0.35">
      <c r="A669" s="53"/>
      <c r="B669" s="54"/>
      <c r="C669" s="55" t="s">
        <v>2331</v>
      </c>
      <c r="D669" s="56"/>
      <c r="E669" s="5"/>
      <c r="F669" s="6"/>
      <c r="G669" s="57"/>
      <c r="H669" s="58"/>
    </row>
    <row r="670" spans="1:771 1026:1795 2050:2819 3074:3843 4098:4867 5122:5891 6146:6915 7170:7939 8194:8963 9218:9987 10242:11011 11266:12035 12290:13059 13314:14083 14338:15107 15362:16131" s="59" customFormat="1" ht="31.8" thickBot="1" x14ac:dyDescent="0.35">
      <c r="A670" s="154"/>
      <c r="B670" s="155" t="s">
        <v>26</v>
      </c>
      <c r="C670" s="156"/>
      <c r="D670" s="154"/>
      <c r="E670" s="157"/>
      <c r="F670" s="158"/>
      <c r="G670" s="159">
        <f>SUM(G646:G669)/2</f>
        <v>1015864149.9200002</v>
      </c>
      <c r="H670" s="160"/>
      <c r="IX670" s="35"/>
      <c r="IY670" s="35"/>
      <c r="ST670" s="35"/>
      <c r="SU670" s="35"/>
      <c r="ACP670" s="35"/>
      <c r="ACQ670" s="35"/>
      <c r="AML670" s="35"/>
      <c r="AMM670" s="35"/>
      <c r="AWH670" s="35"/>
      <c r="AWI670" s="35"/>
      <c r="BGD670" s="35"/>
      <c r="BGE670" s="35"/>
      <c r="BPZ670" s="35"/>
      <c r="BQA670" s="35"/>
      <c r="BZV670" s="35"/>
      <c r="BZW670" s="35"/>
      <c r="CJR670" s="35"/>
      <c r="CJS670" s="35"/>
      <c r="CTN670" s="35"/>
      <c r="CTO670" s="35"/>
      <c r="DDJ670" s="35"/>
      <c r="DDK670" s="35"/>
      <c r="DNF670" s="35"/>
      <c r="DNG670" s="35"/>
      <c r="DXB670" s="35"/>
      <c r="DXC670" s="35"/>
      <c r="EGX670" s="35"/>
      <c r="EGY670" s="35"/>
      <c r="EQT670" s="35"/>
      <c r="EQU670" s="35"/>
      <c r="FAP670" s="35"/>
      <c r="FAQ670" s="35"/>
      <c r="FKL670" s="35"/>
      <c r="FKM670" s="35"/>
      <c r="FUH670" s="35"/>
      <c r="FUI670" s="35"/>
      <c r="GED670" s="35"/>
      <c r="GEE670" s="35"/>
      <c r="GNZ670" s="35"/>
      <c r="GOA670" s="35"/>
      <c r="GXV670" s="35"/>
      <c r="GXW670" s="35"/>
      <c r="HHR670" s="35"/>
      <c r="HHS670" s="35"/>
      <c r="HRN670" s="35"/>
      <c r="HRO670" s="35"/>
      <c r="IBJ670" s="35"/>
      <c r="IBK670" s="35"/>
      <c r="ILF670" s="35"/>
      <c r="ILG670" s="35"/>
      <c r="IVB670" s="35"/>
      <c r="IVC670" s="35"/>
      <c r="JEX670" s="35"/>
      <c r="JEY670" s="35"/>
      <c r="JOT670" s="35"/>
      <c r="JOU670" s="35"/>
      <c r="JYP670" s="35"/>
      <c r="JYQ670" s="35"/>
      <c r="KIL670" s="35"/>
      <c r="KIM670" s="35"/>
      <c r="KSH670" s="35"/>
      <c r="KSI670" s="35"/>
      <c r="LCD670" s="35"/>
      <c r="LCE670" s="35"/>
      <c r="LLZ670" s="35"/>
      <c r="LMA670" s="35"/>
      <c r="LVV670" s="35"/>
      <c r="LVW670" s="35"/>
      <c r="MFR670" s="35"/>
      <c r="MFS670" s="35"/>
      <c r="MPN670" s="35"/>
      <c r="MPO670" s="35"/>
      <c r="MZJ670" s="35"/>
      <c r="MZK670" s="35"/>
      <c r="NJF670" s="35"/>
      <c r="NJG670" s="35"/>
      <c r="NTB670" s="35"/>
      <c r="NTC670" s="35"/>
      <c r="OCX670" s="35"/>
      <c r="OCY670" s="35"/>
      <c r="OMT670" s="35"/>
      <c r="OMU670" s="35"/>
      <c r="OWP670" s="35"/>
      <c r="OWQ670" s="35"/>
      <c r="PGL670" s="35"/>
      <c r="PGM670" s="35"/>
      <c r="PQH670" s="35"/>
      <c r="PQI670" s="35"/>
      <c r="QAD670" s="35"/>
      <c r="QAE670" s="35"/>
      <c r="QJZ670" s="35"/>
      <c r="QKA670" s="35"/>
      <c r="QTV670" s="35"/>
      <c r="QTW670" s="35"/>
      <c r="RDR670" s="35"/>
      <c r="RDS670" s="35"/>
      <c r="RNN670" s="35"/>
      <c r="RNO670" s="35"/>
      <c r="RXJ670" s="35"/>
      <c r="RXK670" s="35"/>
      <c r="SHF670" s="35"/>
      <c r="SHG670" s="35"/>
      <c r="SRB670" s="35"/>
      <c r="SRC670" s="35"/>
      <c r="TAX670" s="35"/>
      <c r="TAY670" s="35"/>
      <c r="TKT670" s="35"/>
      <c r="TKU670" s="35"/>
      <c r="TUP670" s="35"/>
      <c r="TUQ670" s="35"/>
      <c r="UEL670" s="35"/>
      <c r="UEM670" s="35"/>
      <c r="UOH670" s="35"/>
      <c r="UOI670" s="35"/>
      <c r="UYD670" s="35"/>
      <c r="UYE670" s="35"/>
      <c r="VHZ670" s="35"/>
      <c r="VIA670" s="35"/>
      <c r="VRV670" s="35"/>
      <c r="VRW670" s="35"/>
      <c r="WBR670" s="35"/>
      <c r="WBS670" s="35"/>
      <c r="WLN670" s="35"/>
      <c r="WLO670" s="35"/>
      <c r="WVJ670" s="35"/>
      <c r="WVK670" s="35"/>
    </row>
    <row r="671" spans="1:771 1026:1795 2050:2819 3074:3843 4098:4867 5122:5891 6146:6915 7170:7939 8194:8963 9218:9987 10242:11011 11266:12035 12290:13059 13314:14083 14338:15107 15362:16131" s="35" customFormat="1" ht="69" x14ac:dyDescent="0.3">
      <c r="A671" s="28">
        <v>58</v>
      </c>
      <c r="B671" s="29" t="s">
        <v>561</v>
      </c>
      <c r="C671" s="30" t="s">
        <v>566</v>
      </c>
      <c r="D671" s="31" t="s">
        <v>13</v>
      </c>
      <c r="E671" s="32">
        <v>9</v>
      </c>
      <c r="F671" s="33"/>
      <c r="G671" s="33"/>
      <c r="H671" s="34" t="s">
        <v>565</v>
      </c>
    </row>
    <row r="672" spans="1:771 1026:1795 2050:2819 3074:3843 4098:4867 5122:5891 6146:6915 7170:7939 8194:8963 9218:9987 10242:11011 11266:12035 12290:13059 13314:14083 14338:15107 15362:16131" s="35" customFormat="1" x14ac:dyDescent="0.3">
      <c r="A672" s="36"/>
      <c r="B672" s="72" t="s">
        <v>562</v>
      </c>
      <c r="C672" s="38" t="s">
        <v>14</v>
      </c>
      <c r="D672" s="39"/>
      <c r="E672" s="44"/>
      <c r="F672" s="40"/>
      <c r="G672" s="41">
        <f>SUM(G673)</f>
        <v>175311000</v>
      </c>
      <c r="H672" s="42"/>
    </row>
    <row r="673" spans="1:771 1026:1795 2050:2819 3074:3843 4098:4867 5122:5891 6146:6915 7170:7939 8194:8963 9218:9987 10242:11011 11266:12035 12290:13059 13314:14083 14338:15107 15362:16131" s="35" customFormat="1" ht="78" x14ac:dyDescent="0.3">
      <c r="A673" s="36"/>
      <c r="B673" s="72" t="s">
        <v>563</v>
      </c>
      <c r="C673" s="48" t="s">
        <v>38</v>
      </c>
      <c r="D673" s="39" t="s">
        <v>13</v>
      </c>
      <c r="E673" s="44">
        <v>9</v>
      </c>
      <c r="F673" s="161">
        <v>19479000</v>
      </c>
      <c r="G673" s="40">
        <f>E673*F673</f>
        <v>175311000</v>
      </c>
      <c r="H673" s="42"/>
    </row>
    <row r="674" spans="1:771 1026:1795 2050:2819 3074:3843 4098:4867 5122:5891 6146:6915 7170:7939 8194:8963 9218:9987 10242:11011 11266:12035 12290:13059 13314:14083 14338:15107 15362:16131" s="35" customFormat="1" x14ac:dyDescent="0.3">
      <c r="A674" s="36"/>
      <c r="B674" s="72" t="s">
        <v>564</v>
      </c>
      <c r="C674" s="47" t="s">
        <v>35</v>
      </c>
      <c r="D674" s="39"/>
      <c r="E674" s="73"/>
      <c r="F674" s="40"/>
      <c r="G674" s="41">
        <f>SUM(G675)</f>
        <v>32037048</v>
      </c>
      <c r="H674" s="45"/>
    </row>
    <row r="675" spans="1:771 1026:1795 2050:2819 3074:3843 4098:4867 5122:5891 6146:6915 7170:7939 8194:8963 9218:9987 10242:11011 11266:12035 12290:13059 13314:14083 14338:15107 15362:16131" s="35" customFormat="1" ht="93.6" x14ac:dyDescent="0.3">
      <c r="A675" s="36"/>
      <c r="B675" s="50"/>
      <c r="C675" s="66" t="s">
        <v>567</v>
      </c>
      <c r="D675" s="39" t="s">
        <v>234</v>
      </c>
      <c r="E675" s="73">
        <v>8.9190000000000005</v>
      </c>
      <c r="F675" s="74">
        <v>3592000</v>
      </c>
      <c r="G675" s="40">
        <f>E675*F675</f>
        <v>32037048</v>
      </c>
      <c r="H675" s="45" t="s">
        <v>2417</v>
      </c>
    </row>
    <row r="676" spans="1:771 1026:1795 2050:2819 3074:3843 4098:4867 5122:5891 6146:6915 7170:7939 8194:8963 9218:9987 10242:11011 11266:12035 12290:13059 13314:14083 14338:15107 15362:16131" s="35" customFormat="1" ht="65.400000000000006" thickBot="1" x14ac:dyDescent="0.35">
      <c r="A676" s="53"/>
      <c r="B676" s="54"/>
      <c r="C676" s="55" t="s">
        <v>2331</v>
      </c>
      <c r="D676" s="56"/>
      <c r="E676" s="5"/>
      <c r="F676" s="6"/>
      <c r="G676" s="57"/>
      <c r="H676" s="58"/>
    </row>
    <row r="677" spans="1:771 1026:1795 2050:2819 3074:3843 4098:4867 5122:5891 6146:6915 7170:7939 8194:8963 9218:9987 10242:11011 11266:12035 12290:13059 13314:14083 14338:15107 15362:16131" s="59" customFormat="1" ht="31.8" thickBot="1" x14ac:dyDescent="0.35">
      <c r="A677" s="154"/>
      <c r="B677" s="155" t="s">
        <v>26</v>
      </c>
      <c r="C677" s="156"/>
      <c r="D677" s="154"/>
      <c r="E677" s="157"/>
      <c r="F677" s="158"/>
      <c r="G677" s="159">
        <f>SUM(G671:G676)/2</f>
        <v>207348048</v>
      </c>
      <c r="H677" s="160"/>
      <c r="IX677" s="35"/>
      <c r="IY677" s="35"/>
      <c r="ST677" s="35"/>
      <c r="SU677" s="35"/>
      <c r="ACP677" s="35"/>
      <c r="ACQ677" s="35"/>
      <c r="AML677" s="35"/>
      <c r="AMM677" s="35"/>
      <c r="AWH677" s="35"/>
      <c r="AWI677" s="35"/>
      <c r="BGD677" s="35"/>
      <c r="BGE677" s="35"/>
      <c r="BPZ677" s="35"/>
      <c r="BQA677" s="35"/>
      <c r="BZV677" s="35"/>
      <c r="BZW677" s="35"/>
      <c r="CJR677" s="35"/>
      <c r="CJS677" s="35"/>
      <c r="CTN677" s="35"/>
      <c r="CTO677" s="35"/>
      <c r="DDJ677" s="35"/>
      <c r="DDK677" s="35"/>
      <c r="DNF677" s="35"/>
      <c r="DNG677" s="35"/>
      <c r="DXB677" s="35"/>
      <c r="DXC677" s="35"/>
      <c r="EGX677" s="35"/>
      <c r="EGY677" s="35"/>
      <c r="EQT677" s="35"/>
      <c r="EQU677" s="35"/>
      <c r="FAP677" s="35"/>
      <c r="FAQ677" s="35"/>
      <c r="FKL677" s="35"/>
      <c r="FKM677" s="35"/>
      <c r="FUH677" s="35"/>
      <c r="FUI677" s="35"/>
      <c r="GED677" s="35"/>
      <c r="GEE677" s="35"/>
      <c r="GNZ677" s="35"/>
      <c r="GOA677" s="35"/>
      <c r="GXV677" s="35"/>
      <c r="GXW677" s="35"/>
      <c r="HHR677" s="35"/>
      <c r="HHS677" s="35"/>
      <c r="HRN677" s="35"/>
      <c r="HRO677" s="35"/>
      <c r="IBJ677" s="35"/>
      <c r="IBK677" s="35"/>
      <c r="ILF677" s="35"/>
      <c r="ILG677" s="35"/>
      <c r="IVB677" s="35"/>
      <c r="IVC677" s="35"/>
      <c r="JEX677" s="35"/>
      <c r="JEY677" s="35"/>
      <c r="JOT677" s="35"/>
      <c r="JOU677" s="35"/>
      <c r="JYP677" s="35"/>
      <c r="JYQ677" s="35"/>
      <c r="KIL677" s="35"/>
      <c r="KIM677" s="35"/>
      <c r="KSH677" s="35"/>
      <c r="KSI677" s="35"/>
      <c r="LCD677" s="35"/>
      <c r="LCE677" s="35"/>
      <c r="LLZ677" s="35"/>
      <c r="LMA677" s="35"/>
      <c r="LVV677" s="35"/>
      <c r="LVW677" s="35"/>
      <c r="MFR677" s="35"/>
      <c r="MFS677" s="35"/>
      <c r="MPN677" s="35"/>
      <c r="MPO677" s="35"/>
      <c r="MZJ677" s="35"/>
      <c r="MZK677" s="35"/>
      <c r="NJF677" s="35"/>
      <c r="NJG677" s="35"/>
      <c r="NTB677" s="35"/>
      <c r="NTC677" s="35"/>
      <c r="OCX677" s="35"/>
      <c r="OCY677" s="35"/>
      <c r="OMT677" s="35"/>
      <c r="OMU677" s="35"/>
      <c r="OWP677" s="35"/>
      <c r="OWQ677" s="35"/>
      <c r="PGL677" s="35"/>
      <c r="PGM677" s="35"/>
      <c r="PQH677" s="35"/>
      <c r="PQI677" s="35"/>
      <c r="QAD677" s="35"/>
      <c r="QAE677" s="35"/>
      <c r="QJZ677" s="35"/>
      <c r="QKA677" s="35"/>
      <c r="QTV677" s="35"/>
      <c r="QTW677" s="35"/>
      <c r="RDR677" s="35"/>
      <c r="RDS677" s="35"/>
      <c r="RNN677" s="35"/>
      <c r="RNO677" s="35"/>
      <c r="RXJ677" s="35"/>
      <c r="RXK677" s="35"/>
      <c r="SHF677" s="35"/>
      <c r="SHG677" s="35"/>
      <c r="SRB677" s="35"/>
      <c r="SRC677" s="35"/>
      <c r="TAX677" s="35"/>
      <c r="TAY677" s="35"/>
      <c r="TKT677" s="35"/>
      <c r="TKU677" s="35"/>
      <c r="TUP677" s="35"/>
      <c r="TUQ677" s="35"/>
      <c r="UEL677" s="35"/>
      <c r="UEM677" s="35"/>
      <c r="UOH677" s="35"/>
      <c r="UOI677" s="35"/>
      <c r="UYD677" s="35"/>
      <c r="UYE677" s="35"/>
      <c r="VHZ677" s="35"/>
      <c r="VIA677" s="35"/>
      <c r="VRV677" s="35"/>
      <c r="VRW677" s="35"/>
      <c r="WBR677" s="35"/>
      <c r="WBS677" s="35"/>
      <c r="WLN677" s="35"/>
      <c r="WLO677" s="35"/>
      <c r="WVJ677" s="35"/>
      <c r="WVK677" s="35"/>
    </row>
    <row r="678" spans="1:771 1026:1795 2050:2819 3074:3843 4098:4867 5122:5891 6146:6915 7170:7939 8194:8963 9218:9987 10242:11011 11266:12035 12290:13059 13314:14083 14338:15107 15362:16131" s="35" customFormat="1" ht="69" x14ac:dyDescent="0.3">
      <c r="A678" s="28">
        <v>59</v>
      </c>
      <c r="B678" s="29" t="s">
        <v>568</v>
      </c>
      <c r="C678" s="30" t="s">
        <v>571</v>
      </c>
      <c r="D678" s="31" t="s">
        <v>13</v>
      </c>
      <c r="E678" s="32">
        <v>12.2</v>
      </c>
      <c r="F678" s="33"/>
      <c r="G678" s="33"/>
      <c r="H678" s="34" t="s">
        <v>570</v>
      </c>
    </row>
    <row r="679" spans="1:771 1026:1795 2050:2819 3074:3843 4098:4867 5122:5891 6146:6915 7170:7939 8194:8963 9218:9987 10242:11011 11266:12035 12290:13059 13314:14083 14338:15107 15362:16131" s="35" customFormat="1" x14ac:dyDescent="0.3">
      <c r="A679" s="36"/>
      <c r="B679" s="72" t="s">
        <v>326</v>
      </c>
      <c r="C679" s="38" t="s">
        <v>14</v>
      </c>
      <c r="D679" s="39"/>
      <c r="E679" s="44"/>
      <c r="F679" s="40"/>
      <c r="G679" s="41">
        <f>SUM(G680:G684)</f>
        <v>876555000</v>
      </c>
      <c r="H679" s="42"/>
    </row>
    <row r="680" spans="1:771 1026:1795 2050:2819 3074:3843 4098:4867 5122:5891 6146:6915 7170:7939 8194:8963 9218:9987 10242:11011 11266:12035 12290:13059 13314:14083 14338:15107 15362:16131" s="35" customFormat="1" ht="78" x14ac:dyDescent="0.3">
      <c r="A680" s="36"/>
      <c r="B680" s="72" t="s">
        <v>582</v>
      </c>
      <c r="C680" s="48" t="s">
        <v>38</v>
      </c>
      <c r="D680" s="39" t="s">
        <v>13</v>
      </c>
      <c r="E680" s="73">
        <v>12.2</v>
      </c>
      <c r="F680" s="153">
        <v>19479000</v>
      </c>
      <c r="G680" s="40">
        <f>E680*F680</f>
        <v>237643800</v>
      </c>
      <c r="H680" s="42"/>
    </row>
    <row r="681" spans="1:771 1026:1795 2050:2819 3074:3843 4098:4867 5122:5891 6146:6915 7170:7939 8194:8963 9218:9987 10242:11011 11266:12035 12290:13059 13314:14083 14338:15107 15362:16131" s="35" customFormat="1" ht="69" x14ac:dyDescent="0.3">
      <c r="A681" s="36"/>
      <c r="B681" s="70"/>
      <c r="C681" s="48" t="s">
        <v>575</v>
      </c>
      <c r="D681" s="39" t="s">
        <v>13</v>
      </c>
      <c r="E681" s="44">
        <v>15.4</v>
      </c>
      <c r="F681" s="40"/>
      <c r="G681" s="40"/>
      <c r="H681" s="42" t="s">
        <v>574</v>
      </c>
    </row>
    <row r="682" spans="1:771 1026:1795 2050:2819 3074:3843 4098:4867 5122:5891 6146:6915 7170:7939 8194:8963 9218:9987 10242:11011 11266:12035 12290:13059 13314:14083 14338:15107 15362:16131" s="35" customFormat="1" ht="18.600000000000001" x14ac:dyDescent="0.3">
      <c r="A682" s="36"/>
      <c r="B682" s="72"/>
      <c r="C682" s="48" t="s">
        <v>38</v>
      </c>
      <c r="D682" s="39" t="s">
        <v>13</v>
      </c>
      <c r="E682" s="44">
        <v>15.4</v>
      </c>
      <c r="F682" s="161">
        <v>19479000</v>
      </c>
      <c r="G682" s="40">
        <f>E682*F682</f>
        <v>299976600</v>
      </c>
      <c r="H682" s="42"/>
    </row>
    <row r="683" spans="1:771 1026:1795 2050:2819 3074:3843 4098:4867 5122:5891 6146:6915 7170:7939 8194:8963 9218:9987 10242:11011 11266:12035 12290:13059 13314:14083 14338:15107 15362:16131" ht="55.2" x14ac:dyDescent="0.3">
      <c r="A683" s="167"/>
      <c r="B683" s="70"/>
      <c r="C683" s="48" t="s">
        <v>2075</v>
      </c>
      <c r="D683" s="39" t="s">
        <v>13</v>
      </c>
      <c r="E683" s="87">
        <v>17.399999999999999</v>
      </c>
      <c r="F683" s="40"/>
      <c r="G683" s="40"/>
      <c r="H683" s="42" t="s">
        <v>2076</v>
      </c>
    </row>
    <row r="684" spans="1:771 1026:1795 2050:2819 3074:3843 4098:4867 5122:5891 6146:6915 7170:7939 8194:8963 9218:9987 10242:11011 11266:12035 12290:13059 13314:14083 14338:15107 15362:16131" ht="18.600000000000001" x14ac:dyDescent="0.3">
      <c r="A684" s="167"/>
      <c r="B684" s="37"/>
      <c r="C684" s="48" t="s">
        <v>38</v>
      </c>
      <c r="D684" s="39" t="s">
        <v>13</v>
      </c>
      <c r="E684" s="44">
        <v>17.399999999999999</v>
      </c>
      <c r="F684" s="161">
        <v>19479000</v>
      </c>
      <c r="G684" s="40">
        <f>E684*F684</f>
        <v>338934600</v>
      </c>
      <c r="H684" s="42"/>
    </row>
    <row r="685" spans="1:771 1026:1795 2050:2819 3074:3843 4098:4867 5122:5891 6146:6915 7170:7939 8194:8963 9218:9987 10242:11011 11266:12035 12290:13059 13314:14083 14338:15107 15362:16131" s="35" customFormat="1" x14ac:dyDescent="0.3">
      <c r="A685" s="36"/>
      <c r="B685" s="72" t="s">
        <v>569</v>
      </c>
      <c r="C685" s="47" t="s">
        <v>35</v>
      </c>
      <c r="D685" s="39"/>
      <c r="E685" s="73"/>
      <c r="F685" s="40"/>
      <c r="G685" s="41">
        <f>SUM(G686:G693)</f>
        <v>89936419.599999994</v>
      </c>
      <c r="H685" s="45"/>
    </row>
    <row r="686" spans="1:771 1026:1795 2050:2819 3074:3843 4098:4867 5122:5891 6146:6915 7170:7939 8194:8963 9218:9987 10242:11011 11266:12035 12290:13059 13314:14083 14338:15107 15362:16131" s="35" customFormat="1" ht="93.6" x14ac:dyDescent="0.3">
      <c r="A686" s="36"/>
      <c r="B686" s="50"/>
      <c r="C686" s="66" t="s">
        <v>572</v>
      </c>
      <c r="D686" s="39" t="s">
        <v>234</v>
      </c>
      <c r="E686" s="73">
        <v>12.772</v>
      </c>
      <c r="F686" s="74">
        <f>3592000*40%</f>
        <v>1436800</v>
      </c>
      <c r="G686" s="40">
        <f t="shared" ref="G686:G693" si="11">E686*F686</f>
        <v>18350809.600000001</v>
      </c>
      <c r="H686" s="45" t="s">
        <v>2418</v>
      </c>
    </row>
    <row r="687" spans="1:771 1026:1795 2050:2819 3074:3843 4098:4867 5122:5891 6146:6915 7170:7939 8194:8963 9218:9987 10242:11011 11266:12035 12290:13059 13314:14083 14338:15107 15362:16131" s="35" customFormat="1" ht="31.2" x14ac:dyDescent="0.3">
      <c r="A687" s="36"/>
      <c r="B687" s="50"/>
      <c r="C687" s="66" t="s">
        <v>573</v>
      </c>
      <c r="D687" s="39" t="s">
        <v>234</v>
      </c>
      <c r="E687" s="73">
        <v>21.7</v>
      </c>
      <c r="F687" s="74">
        <v>391000</v>
      </c>
      <c r="G687" s="40">
        <f t="shared" si="11"/>
        <v>8484700</v>
      </c>
      <c r="H687" s="45"/>
    </row>
    <row r="688" spans="1:771 1026:1795 2050:2819 3074:3843 4098:4867 5122:5891 6146:6915 7170:7939 8194:8963 9218:9987 10242:11011 11266:12035 12290:13059 13314:14083 14338:15107 15362:16131" s="35" customFormat="1" ht="93.6" x14ac:dyDescent="0.3">
      <c r="A688" s="36"/>
      <c r="B688" s="50"/>
      <c r="C688" s="66" t="s">
        <v>576</v>
      </c>
      <c r="D688" s="39" t="s">
        <v>234</v>
      </c>
      <c r="E688" s="73">
        <v>14.145</v>
      </c>
      <c r="F688" s="74">
        <v>3592000</v>
      </c>
      <c r="G688" s="40">
        <f t="shared" si="11"/>
        <v>50808840</v>
      </c>
      <c r="H688" s="45" t="s">
        <v>577</v>
      </c>
    </row>
    <row r="689" spans="1:771 1026:1795 2050:2819 3074:3843 4098:4867 5122:5891 6146:6915 7170:7939 8194:8963 9218:9987 10242:11011 11266:12035 12290:13059 13314:14083 14338:15107 15362:16131" s="35" customFormat="1" ht="31.2" x14ac:dyDescent="0.3">
      <c r="A689" s="36"/>
      <c r="B689" s="50"/>
      <c r="C689" s="66" t="s">
        <v>573</v>
      </c>
      <c r="D689" s="39" t="s">
        <v>234</v>
      </c>
      <c r="E689" s="73">
        <v>32.085000000000001</v>
      </c>
      <c r="F689" s="74">
        <v>258000</v>
      </c>
      <c r="G689" s="40">
        <f t="shared" si="11"/>
        <v>8277930</v>
      </c>
      <c r="H689" s="45"/>
    </row>
    <row r="690" spans="1:771 1026:1795 2050:2819 3074:3843 4098:4867 5122:5891 6146:6915 7170:7939 8194:8963 9218:9987 10242:11011 11266:12035 12290:13059 13314:14083 14338:15107 15362:16131" ht="18.600000000000001" x14ac:dyDescent="0.3">
      <c r="A690" s="167"/>
      <c r="B690" s="37"/>
      <c r="C690" s="66" t="s">
        <v>18</v>
      </c>
      <c r="D690" s="39" t="s">
        <v>13</v>
      </c>
      <c r="E690" s="44">
        <f>(1.5*12.8)</f>
        <v>19.200000000000003</v>
      </c>
      <c r="F690" s="40">
        <v>41000</v>
      </c>
      <c r="G690" s="40">
        <f t="shared" si="11"/>
        <v>787200.00000000012</v>
      </c>
      <c r="H690" s="42"/>
    </row>
    <row r="691" spans="1:771 1026:1795 2050:2819 3074:3843 4098:4867 5122:5891 6146:6915 7170:7939 8194:8963 9218:9987 10242:11011 11266:12035 12290:13059 13314:14083 14338:15107 15362:16131" ht="18.600000000000001" x14ac:dyDescent="0.3">
      <c r="A691" s="167"/>
      <c r="B691" s="37"/>
      <c r="C691" s="66" t="s">
        <v>305</v>
      </c>
      <c r="D691" s="39" t="s">
        <v>13</v>
      </c>
      <c r="E691" s="44">
        <f>2*8.5</f>
        <v>17</v>
      </c>
      <c r="F691" s="40">
        <v>140000</v>
      </c>
      <c r="G691" s="40">
        <f t="shared" si="11"/>
        <v>2380000</v>
      </c>
      <c r="H691" s="42"/>
    </row>
    <row r="692" spans="1:771 1026:1795 2050:2819 3074:3843 4098:4867 5122:5891 6146:6915 7170:7939 8194:8963 9218:9987 10242:11011 11266:12035 12290:13059 13314:14083 14338:15107 15362:16131" ht="18.600000000000001" x14ac:dyDescent="0.3">
      <c r="A692" s="167"/>
      <c r="B692" s="37"/>
      <c r="C692" s="66" t="s">
        <v>189</v>
      </c>
      <c r="D692" s="39" t="s">
        <v>1893</v>
      </c>
      <c r="E692" s="44">
        <f>1.7*2*0.1</f>
        <v>0.34</v>
      </c>
      <c r="F692" s="40">
        <v>1421000</v>
      </c>
      <c r="G692" s="40">
        <f t="shared" si="11"/>
        <v>483140.00000000006</v>
      </c>
      <c r="H692" s="42"/>
    </row>
    <row r="693" spans="1:771 1026:1795 2050:2819 3074:3843 4098:4867 5122:5891 6146:6915 7170:7939 8194:8963 9218:9987 10242:11011 11266:12035 12290:13059 13314:14083 14338:15107 15362:16131" ht="18.600000000000001" x14ac:dyDescent="0.3">
      <c r="A693" s="167"/>
      <c r="B693" s="37"/>
      <c r="C693" s="66" t="s">
        <v>190</v>
      </c>
      <c r="D693" s="39" t="s">
        <v>13</v>
      </c>
      <c r="E693" s="44">
        <f>1.7*2</f>
        <v>3.4</v>
      </c>
      <c r="F693" s="40">
        <v>107000</v>
      </c>
      <c r="G693" s="40">
        <f t="shared" si="11"/>
        <v>363800</v>
      </c>
      <c r="H693" s="42"/>
    </row>
    <row r="694" spans="1:771 1026:1795 2050:2819 3074:3843 4098:4867 5122:5891 6146:6915 7170:7939 8194:8963 9218:9987 10242:11011 11266:12035 12290:13059 13314:14083 14338:15107 15362:16131" s="35" customFormat="1" ht="65.400000000000006" thickBot="1" x14ac:dyDescent="0.35">
      <c r="A694" s="53"/>
      <c r="B694" s="54"/>
      <c r="C694" s="55" t="s">
        <v>2331</v>
      </c>
      <c r="D694" s="56"/>
      <c r="E694" s="5"/>
      <c r="F694" s="6"/>
      <c r="G694" s="57"/>
      <c r="H694" s="58"/>
    </row>
    <row r="695" spans="1:771 1026:1795 2050:2819 3074:3843 4098:4867 5122:5891 6146:6915 7170:7939 8194:8963 9218:9987 10242:11011 11266:12035 12290:13059 13314:14083 14338:15107 15362:16131" s="177" customFormat="1" ht="31.8" thickBot="1" x14ac:dyDescent="0.35">
      <c r="A695" s="174"/>
      <c r="B695" s="155" t="s">
        <v>26</v>
      </c>
      <c r="C695" s="175"/>
      <c r="D695" s="23"/>
      <c r="E695" s="176"/>
      <c r="F695" s="159"/>
      <c r="G695" s="159">
        <f>SUM(G678:G694)/2</f>
        <v>966491419.5999999</v>
      </c>
      <c r="H695" s="160"/>
      <c r="IX695" s="173"/>
      <c r="IY695" s="173"/>
      <c r="ST695" s="173"/>
      <c r="SU695" s="173"/>
      <c r="ACP695" s="173"/>
      <c r="ACQ695" s="173"/>
      <c r="AML695" s="173"/>
      <c r="AMM695" s="173"/>
      <c r="AWH695" s="173"/>
      <c r="AWI695" s="173"/>
      <c r="BGD695" s="173"/>
      <c r="BGE695" s="173"/>
      <c r="BPZ695" s="173"/>
      <c r="BQA695" s="173"/>
      <c r="BZV695" s="173"/>
      <c r="BZW695" s="173"/>
      <c r="CJR695" s="173"/>
      <c r="CJS695" s="173"/>
      <c r="CTN695" s="173"/>
      <c r="CTO695" s="173"/>
      <c r="DDJ695" s="173"/>
      <c r="DDK695" s="173"/>
      <c r="DNF695" s="173"/>
      <c r="DNG695" s="173"/>
      <c r="DXB695" s="173"/>
      <c r="DXC695" s="173"/>
      <c r="EGX695" s="173"/>
      <c r="EGY695" s="173"/>
      <c r="EQT695" s="173"/>
      <c r="EQU695" s="173"/>
      <c r="FAP695" s="173"/>
      <c r="FAQ695" s="173"/>
      <c r="FKL695" s="173"/>
      <c r="FKM695" s="173"/>
      <c r="FUH695" s="173"/>
      <c r="FUI695" s="173"/>
      <c r="GED695" s="173"/>
      <c r="GEE695" s="173"/>
      <c r="GNZ695" s="173"/>
      <c r="GOA695" s="173"/>
      <c r="GXV695" s="173"/>
      <c r="GXW695" s="173"/>
      <c r="HHR695" s="173"/>
      <c r="HHS695" s="173"/>
      <c r="HRN695" s="173"/>
      <c r="HRO695" s="173"/>
      <c r="IBJ695" s="173"/>
      <c r="IBK695" s="173"/>
      <c r="ILF695" s="173"/>
      <c r="ILG695" s="173"/>
      <c r="IVB695" s="173"/>
      <c r="IVC695" s="173"/>
      <c r="JEX695" s="173"/>
      <c r="JEY695" s="173"/>
      <c r="JOT695" s="173"/>
      <c r="JOU695" s="173"/>
      <c r="JYP695" s="173"/>
      <c r="JYQ695" s="173"/>
      <c r="KIL695" s="173"/>
      <c r="KIM695" s="173"/>
      <c r="KSH695" s="173"/>
      <c r="KSI695" s="173"/>
      <c r="LCD695" s="173"/>
      <c r="LCE695" s="173"/>
      <c r="LLZ695" s="173"/>
      <c r="LMA695" s="173"/>
      <c r="LVV695" s="173"/>
      <c r="LVW695" s="173"/>
      <c r="MFR695" s="173"/>
      <c r="MFS695" s="173"/>
      <c r="MPN695" s="173"/>
      <c r="MPO695" s="173"/>
      <c r="MZJ695" s="173"/>
      <c r="MZK695" s="173"/>
      <c r="NJF695" s="173"/>
      <c r="NJG695" s="173"/>
      <c r="NTB695" s="173"/>
      <c r="NTC695" s="173"/>
      <c r="OCX695" s="173"/>
      <c r="OCY695" s="173"/>
      <c r="OMT695" s="173"/>
      <c r="OMU695" s="173"/>
      <c r="OWP695" s="173"/>
      <c r="OWQ695" s="173"/>
      <c r="PGL695" s="173"/>
      <c r="PGM695" s="173"/>
      <c r="PQH695" s="173"/>
      <c r="PQI695" s="173"/>
      <c r="QAD695" s="173"/>
      <c r="QAE695" s="173"/>
      <c r="QJZ695" s="173"/>
      <c r="QKA695" s="173"/>
      <c r="QTV695" s="173"/>
      <c r="QTW695" s="173"/>
      <c r="RDR695" s="173"/>
      <c r="RDS695" s="173"/>
      <c r="RNN695" s="173"/>
      <c r="RNO695" s="173"/>
      <c r="RXJ695" s="173"/>
      <c r="RXK695" s="173"/>
      <c r="SHF695" s="173"/>
      <c r="SHG695" s="173"/>
      <c r="SRB695" s="173"/>
      <c r="SRC695" s="173"/>
      <c r="TAX695" s="173"/>
      <c r="TAY695" s="173"/>
      <c r="TKT695" s="173"/>
      <c r="TKU695" s="173"/>
      <c r="TUP695" s="173"/>
      <c r="TUQ695" s="173"/>
      <c r="UEL695" s="173"/>
      <c r="UEM695" s="173"/>
      <c r="UOH695" s="173"/>
      <c r="UOI695" s="173"/>
      <c r="UYD695" s="173"/>
      <c r="UYE695" s="173"/>
      <c r="VHZ695" s="173"/>
      <c r="VIA695" s="173"/>
      <c r="VRV695" s="173"/>
      <c r="VRW695" s="173"/>
      <c r="WBR695" s="173"/>
      <c r="WBS695" s="173"/>
      <c r="WLN695" s="173"/>
      <c r="WLO695" s="173"/>
      <c r="WVJ695" s="173"/>
      <c r="WVK695" s="173"/>
    </row>
    <row r="696" spans="1:771 1026:1795 2050:2819 3074:3843 4098:4867 5122:5891 6146:6915 7170:7939 8194:8963 9218:9987 10242:11011 11266:12035 12290:13059 13314:14083 14338:15107 15362:16131" ht="41.4" x14ac:dyDescent="0.3">
      <c r="A696" s="88">
        <v>60</v>
      </c>
      <c r="B696" s="61" t="s">
        <v>1243</v>
      </c>
      <c r="C696" s="30" t="s">
        <v>2112</v>
      </c>
      <c r="D696" s="89" t="s">
        <v>891</v>
      </c>
      <c r="E696" s="78">
        <v>4.7</v>
      </c>
      <c r="F696" s="90"/>
      <c r="G696" s="33"/>
      <c r="H696" s="34" t="s">
        <v>2113</v>
      </c>
    </row>
    <row r="697" spans="1:771 1026:1795 2050:2819 3074:3843 4098:4867 5122:5891 6146:6915 7170:7939 8194:8963 9218:9987 10242:11011 11266:12035 12290:13059 13314:14083 14338:15107 15362:16131" x14ac:dyDescent="0.3">
      <c r="A697" s="91"/>
      <c r="B697" s="37" t="s">
        <v>2114</v>
      </c>
      <c r="C697" s="38" t="s">
        <v>14</v>
      </c>
      <c r="D697" s="92"/>
      <c r="E697" s="93"/>
      <c r="F697" s="94"/>
      <c r="G697" s="41">
        <f>SUM(G698)</f>
        <v>48898800</v>
      </c>
      <c r="H697" s="93"/>
    </row>
    <row r="698" spans="1:771 1026:1795 2050:2819 3074:3843 4098:4867 5122:5891 6146:6915 7170:7939 8194:8963 9218:9987 10242:11011 11266:12035 12290:13059 13314:14083 14338:15107 15362:16131" ht="31.2" x14ac:dyDescent="0.3">
      <c r="A698" s="95"/>
      <c r="B698" s="37" t="s">
        <v>1244</v>
      </c>
      <c r="C698" s="48" t="s">
        <v>55</v>
      </c>
      <c r="D698" s="96" t="s">
        <v>891</v>
      </c>
      <c r="E698" s="97" t="s">
        <v>2264</v>
      </c>
      <c r="F698" s="153">
        <v>10404000</v>
      </c>
      <c r="G698" s="40">
        <f>E698*F698</f>
        <v>48898800</v>
      </c>
      <c r="H698" s="98"/>
    </row>
    <row r="699" spans="1:771 1026:1795 2050:2819 3074:3843 4098:4867 5122:5891 6146:6915 7170:7939 8194:8963 9218:9987 10242:11011 11266:12035 12290:13059 13314:14083 14338:15107 15362:16131" ht="62.4" x14ac:dyDescent="0.3">
      <c r="A699" s="95"/>
      <c r="B699" s="46" t="s">
        <v>2115</v>
      </c>
      <c r="C699" s="98" t="s">
        <v>159</v>
      </c>
      <c r="D699" s="96"/>
      <c r="E699" s="98"/>
      <c r="F699" s="99"/>
      <c r="G699" s="40"/>
      <c r="H699" s="98"/>
    </row>
    <row r="700" spans="1:771 1026:1795 2050:2819 3074:3843 4098:4867 5122:5891 6146:6915 7170:7939 8194:8963 9218:9987 10242:11011 11266:12035 12290:13059 13314:14083 14338:15107 15362:16131" x14ac:dyDescent="0.3">
      <c r="A700" s="36"/>
      <c r="B700" s="50" t="s">
        <v>2116</v>
      </c>
      <c r="C700" s="51" t="s">
        <v>23</v>
      </c>
      <c r="D700" s="39"/>
      <c r="E700" s="1"/>
      <c r="F700" s="2"/>
      <c r="G700" s="41">
        <f>SUM(G701)</f>
        <v>3060000</v>
      </c>
      <c r="H700" s="52"/>
    </row>
    <row r="701" spans="1:771 1026:1795 2050:2819 3074:3843 4098:4867 5122:5891 6146:6915 7170:7939 8194:8963 9218:9987 10242:11011 11266:12035 12290:13059 13314:14083 14338:15107 15362:16131" x14ac:dyDescent="0.3">
      <c r="A701" s="36"/>
      <c r="B701" s="46"/>
      <c r="C701" s="50" t="s">
        <v>24</v>
      </c>
      <c r="D701" s="39" t="s">
        <v>25</v>
      </c>
      <c r="E701" s="1">
        <f>1*30*6</f>
        <v>180</v>
      </c>
      <c r="F701" s="2">
        <v>17000</v>
      </c>
      <c r="G701" s="40">
        <f>E701*F701</f>
        <v>3060000</v>
      </c>
      <c r="H701" s="42"/>
    </row>
    <row r="702" spans="1:771 1026:1795 2050:2819 3074:3843 4098:4867 5122:5891 6146:6915 7170:7939 8194:8963 9218:9987 10242:11011 11266:12035 12290:13059 13314:14083 14338:15107 15362:16131" s="35" customFormat="1" ht="65.400000000000006" thickBot="1" x14ac:dyDescent="0.35">
      <c r="A702" s="53"/>
      <c r="B702" s="54"/>
      <c r="C702" s="55" t="s">
        <v>2331</v>
      </c>
      <c r="D702" s="56"/>
      <c r="E702" s="5"/>
      <c r="F702" s="6"/>
      <c r="G702" s="57"/>
      <c r="H702" s="58"/>
    </row>
    <row r="703" spans="1:771 1026:1795 2050:2819 3074:3843 4098:4867 5122:5891 6146:6915 7170:7939 8194:8963 9218:9987 10242:11011 11266:12035 12290:13059 13314:14083 14338:15107 15362:16131" s="177" customFormat="1" ht="31.8" thickBot="1" x14ac:dyDescent="0.35">
      <c r="A703" s="154"/>
      <c r="B703" s="155" t="s">
        <v>26</v>
      </c>
      <c r="C703" s="156"/>
      <c r="D703" s="154"/>
      <c r="E703" s="157"/>
      <c r="F703" s="158"/>
      <c r="G703" s="159">
        <f>SUM(G696:G702)/2</f>
        <v>51958800</v>
      </c>
      <c r="H703" s="160"/>
      <c r="IX703" s="173"/>
      <c r="IY703" s="173"/>
      <c r="ST703" s="173"/>
      <c r="SU703" s="173"/>
      <c r="ACP703" s="173"/>
      <c r="ACQ703" s="173"/>
      <c r="AML703" s="173"/>
      <c r="AMM703" s="173"/>
      <c r="AWH703" s="173"/>
      <c r="AWI703" s="173"/>
      <c r="BGD703" s="173"/>
      <c r="BGE703" s="173"/>
      <c r="BPZ703" s="173"/>
      <c r="BQA703" s="173"/>
      <c r="BZV703" s="173"/>
      <c r="BZW703" s="173"/>
      <c r="CJR703" s="173"/>
      <c r="CJS703" s="173"/>
      <c r="CTN703" s="173"/>
      <c r="CTO703" s="173"/>
      <c r="DDJ703" s="173"/>
      <c r="DDK703" s="173"/>
      <c r="DNF703" s="173"/>
      <c r="DNG703" s="173"/>
      <c r="DXB703" s="173"/>
      <c r="DXC703" s="173"/>
      <c r="EGX703" s="173"/>
      <c r="EGY703" s="173"/>
      <c r="EQT703" s="173"/>
      <c r="EQU703" s="173"/>
      <c r="FAP703" s="173"/>
      <c r="FAQ703" s="173"/>
      <c r="FKL703" s="173"/>
      <c r="FKM703" s="173"/>
      <c r="FUH703" s="173"/>
      <c r="FUI703" s="173"/>
      <c r="GED703" s="173"/>
      <c r="GEE703" s="173"/>
      <c r="GNZ703" s="173"/>
      <c r="GOA703" s="173"/>
      <c r="GXV703" s="173"/>
      <c r="GXW703" s="173"/>
      <c r="HHR703" s="173"/>
      <c r="HHS703" s="173"/>
      <c r="HRN703" s="173"/>
      <c r="HRO703" s="173"/>
      <c r="IBJ703" s="173"/>
      <c r="IBK703" s="173"/>
      <c r="ILF703" s="173"/>
      <c r="ILG703" s="173"/>
      <c r="IVB703" s="173"/>
      <c r="IVC703" s="173"/>
      <c r="JEX703" s="173"/>
      <c r="JEY703" s="173"/>
      <c r="JOT703" s="173"/>
      <c r="JOU703" s="173"/>
      <c r="JYP703" s="173"/>
      <c r="JYQ703" s="173"/>
      <c r="KIL703" s="173"/>
      <c r="KIM703" s="173"/>
      <c r="KSH703" s="173"/>
      <c r="KSI703" s="173"/>
      <c r="LCD703" s="173"/>
      <c r="LCE703" s="173"/>
      <c r="LLZ703" s="173"/>
      <c r="LMA703" s="173"/>
      <c r="LVV703" s="173"/>
      <c r="LVW703" s="173"/>
      <c r="MFR703" s="173"/>
      <c r="MFS703" s="173"/>
      <c r="MPN703" s="173"/>
      <c r="MPO703" s="173"/>
      <c r="MZJ703" s="173"/>
      <c r="MZK703" s="173"/>
      <c r="NJF703" s="173"/>
      <c r="NJG703" s="173"/>
      <c r="NTB703" s="173"/>
      <c r="NTC703" s="173"/>
      <c r="OCX703" s="173"/>
      <c r="OCY703" s="173"/>
      <c r="OMT703" s="173"/>
      <c r="OMU703" s="173"/>
      <c r="OWP703" s="173"/>
      <c r="OWQ703" s="173"/>
      <c r="PGL703" s="173"/>
      <c r="PGM703" s="173"/>
      <c r="PQH703" s="173"/>
      <c r="PQI703" s="173"/>
      <c r="QAD703" s="173"/>
      <c r="QAE703" s="173"/>
      <c r="QJZ703" s="173"/>
      <c r="QKA703" s="173"/>
      <c r="QTV703" s="173"/>
      <c r="QTW703" s="173"/>
      <c r="RDR703" s="173"/>
      <c r="RDS703" s="173"/>
      <c r="RNN703" s="173"/>
      <c r="RNO703" s="173"/>
      <c r="RXJ703" s="173"/>
      <c r="RXK703" s="173"/>
      <c r="SHF703" s="173"/>
      <c r="SHG703" s="173"/>
      <c r="SRB703" s="173"/>
      <c r="SRC703" s="173"/>
      <c r="TAX703" s="173"/>
      <c r="TAY703" s="173"/>
      <c r="TKT703" s="173"/>
      <c r="TKU703" s="173"/>
      <c r="TUP703" s="173"/>
      <c r="TUQ703" s="173"/>
      <c r="UEL703" s="173"/>
      <c r="UEM703" s="173"/>
      <c r="UOH703" s="173"/>
      <c r="UOI703" s="173"/>
      <c r="UYD703" s="173"/>
      <c r="UYE703" s="173"/>
      <c r="VHZ703" s="173"/>
      <c r="VIA703" s="173"/>
      <c r="VRV703" s="173"/>
      <c r="VRW703" s="173"/>
      <c r="WBR703" s="173"/>
      <c r="WBS703" s="173"/>
      <c r="WLN703" s="173"/>
      <c r="WLO703" s="173"/>
      <c r="WVJ703" s="173"/>
      <c r="WVK703" s="173"/>
    </row>
    <row r="704" spans="1:771 1026:1795 2050:2819 3074:3843 4098:4867 5122:5891 6146:6915 7170:7939 8194:8963 9218:9987 10242:11011 11266:12035 12290:13059 13314:14083 14338:15107 15362:16131" ht="55.2" x14ac:dyDescent="0.3">
      <c r="A704" s="164">
        <v>61</v>
      </c>
      <c r="B704" s="29" t="s">
        <v>2079</v>
      </c>
      <c r="C704" s="30" t="s">
        <v>2080</v>
      </c>
      <c r="D704" s="31" t="s">
        <v>13</v>
      </c>
      <c r="E704" s="100">
        <v>8.8000000000000007</v>
      </c>
      <c r="F704" s="33"/>
      <c r="G704" s="33"/>
      <c r="H704" s="34" t="s">
        <v>2081</v>
      </c>
    </row>
    <row r="705" spans="1:771 1026:1795 2050:2819 3074:3843 4098:4867 5122:5891 6146:6915 7170:7939 8194:8963 9218:9987 10242:11011 11266:12035 12290:13059 13314:14083 14338:15107 15362:16131" x14ac:dyDescent="0.3">
      <c r="A705" s="167"/>
      <c r="B705" s="37" t="s">
        <v>2082</v>
      </c>
      <c r="C705" s="38" t="s">
        <v>14</v>
      </c>
      <c r="D705" s="39"/>
      <c r="E705" s="44"/>
      <c r="F705" s="40"/>
      <c r="G705" s="41">
        <f>SUM(G706:G708)</f>
        <v>640859100</v>
      </c>
      <c r="H705" s="42"/>
    </row>
    <row r="706" spans="1:771 1026:1795 2050:2819 3074:3843 4098:4867 5122:5891 6146:6915 7170:7939 8194:8963 9218:9987 10242:11011 11266:12035 12290:13059 13314:14083 14338:15107 15362:16131" ht="18.600000000000001" x14ac:dyDescent="0.3">
      <c r="A706" s="167"/>
      <c r="B706" s="37" t="s">
        <v>2083</v>
      </c>
      <c r="C706" s="48" t="s">
        <v>38</v>
      </c>
      <c r="D706" s="39" t="s">
        <v>13</v>
      </c>
      <c r="E706" s="44">
        <v>8.8000000000000007</v>
      </c>
      <c r="F706" s="161">
        <v>19479000</v>
      </c>
      <c r="G706" s="40">
        <f>E706*F706</f>
        <v>171415200</v>
      </c>
      <c r="H706" s="42"/>
    </row>
    <row r="707" spans="1:771 1026:1795 2050:2819 3074:3843 4098:4867 5122:5891 6146:6915 7170:7939 8194:8963 9218:9987 10242:11011 11266:12035 12290:13059 13314:14083 14338:15107 15362:16131" s="35" customFormat="1" ht="46.8" x14ac:dyDescent="0.3">
      <c r="A707" s="36"/>
      <c r="B707" s="70"/>
      <c r="C707" s="48" t="s">
        <v>2333</v>
      </c>
      <c r="D707" s="39" t="s">
        <v>13</v>
      </c>
      <c r="E707" s="44">
        <v>24.1</v>
      </c>
      <c r="F707" s="40"/>
      <c r="G707" s="40"/>
      <c r="H707" s="42" t="s">
        <v>64</v>
      </c>
    </row>
    <row r="708" spans="1:771 1026:1795 2050:2819 3074:3843 4098:4867 5122:5891 6146:6915 7170:7939 8194:8963 9218:9987 10242:11011 11266:12035 12290:13059 13314:14083 14338:15107 15362:16131" s="35" customFormat="1" ht="18.600000000000001" x14ac:dyDescent="0.3">
      <c r="A708" s="36"/>
      <c r="B708" s="72"/>
      <c r="C708" s="48" t="s">
        <v>38</v>
      </c>
      <c r="D708" s="39" t="s">
        <v>13</v>
      </c>
      <c r="E708" s="44">
        <v>24.1</v>
      </c>
      <c r="F708" s="161">
        <v>19479000</v>
      </c>
      <c r="G708" s="40">
        <f>E708*F708</f>
        <v>469443900</v>
      </c>
      <c r="H708" s="42"/>
    </row>
    <row r="709" spans="1:771 1026:1795 2050:2819 3074:3843 4098:4867 5122:5891 6146:6915 7170:7939 8194:8963 9218:9987 10242:11011 11266:12035 12290:13059 13314:14083 14338:15107 15362:16131" ht="62.4" x14ac:dyDescent="0.3">
      <c r="A709" s="167"/>
      <c r="B709" s="37" t="s">
        <v>2077</v>
      </c>
      <c r="C709" s="47" t="s">
        <v>35</v>
      </c>
      <c r="D709" s="39"/>
      <c r="E709" s="44"/>
      <c r="F709" s="40"/>
      <c r="G709" s="41">
        <f>SUM(G710:G717)</f>
        <v>263469930</v>
      </c>
      <c r="H709" s="42" t="s">
        <v>235</v>
      </c>
    </row>
    <row r="710" spans="1:771 1026:1795 2050:2819 3074:3843 4098:4867 5122:5891 6146:6915 7170:7939 8194:8963 9218:9987 10242:11011 11266:12035 12290:13059 13314:14083 14338:15107 15362:16131" ht="18.600000000000001" x14ac:dyDescent="0.3">
      <c r="A710" s="167"/>
      <c r="B710" s="37" t="s">
        <v>2078</v>
      </c>
      <c r="C710" s="66" t="s">
        <v>305</v>
      </c>
      <c r="D710" s="39" t="s">
        <v>13</v>
      </c>
      <c r="E710" s="44">
        <f>2*4.3</f>
        <v>8.6</v>
      </c>
      <c r="F710" s="40">
        <v>140000</v>
      </c>
      <c r="G710" s="40">
        <f t="shared" ref="G710:G717" si="12">E710*F710</f>
        <v>1204000</v>
      </c>
      <c r="H710" s="42"/>
    </row>
    <row r="711" spans="1:771 1026:1795 2050:2819 3074:3843 4098:4867 5122:5891 6146:6915 7170:7939 8194:8963 9218:9987 10242:11011 11266:12035 12290:13059 13314:14083 14338:15107 15362:16131" s="77" customFormat="1" ht="82.8" x14ac:dyDescent="0.3">
      <c r="A711" s="36"/>
      <c r="B711" s="75"/>
      <c r="C711" s="101" t="s">
        <v>1246</v>
      </c>
      <c r="D711" s="39" t="s">
        <v>13</v>
      </c>
      <c r="E711" s="73"/>
      <c r="F711" s="74"/>
      <c r="G711" s="40">
        <f t="shared" si="12"/>
        <v>0</v>
      </c>
      <c r="H711" s="45" t="s">
        <v>1245</v>
      </c>
      <c r="I711" s="77" t="s">
        <v>2332</v>
      </c>
    </row>
    <row r="712" spans="1:771 1026:1795 2050:2819 3074:3843 4098:4867 5122:5891 6146:6915 7170:7939 8194:8963 9218:9987 10242:11011 11266:12035 12290:13059 13314:14083 14338:15107 15362:16131" s="77" customFormat="1" ht="41.4" x14ac:dyDescent="0.3">
      <c r="A712" s="36"/>
      <c r="B712" s="75"/>
      <c r="C712" s="66" t="s">
        <v>1247</v>
      </c>
      <c r="D712" s="39" t="s">
        <v>13</v>
      </c>
      <c r="E712" s="73">
        <v>20.37</v>
      </c>
      <c r="F712" s="74">
        <v>5284000</v>
      </c>
      <c r="G712" s="40">
        <f t="shared" si="12"/>
        <v>107635080</v>
      </c>
      <c r="H712" s="45" t="s">
        <v>2419</v>
      </c>
    </row>
    <row r="713" spans="1:771 1026:1795 2050:2819 3074:3843 4098:4867 5122:5891 6146:6915 7170:7939 8194:8963 9218:9987 10242:11011 11266:12035 12290:13059 13314:14083 14338:15107 15362:16131" s="77" customFormat="1" ht="41.4" x14ac:dyDescent="0.3">
      <c r="A713" s="36"/>
      <c r="B713" s="75"/>
      <c r="C713" s="66" t="s">
        <v>1248</v>
      </c>
      <c r="D713" s="39" t="s">
        <v>13</v>
      </c>
      <c r="E713" s="73">
        <v>20.37</v>
      </c>
      <c r="F713" s="74">
        <v>5284000</v>
      </c>
      <c r="G713" s="40">
        <f t="shared" si="12"/>
        <v>107635080</v>
      </c>
      <c r="H713" s="45" t="s">
        <v>2420</v>
      </c>
    </row>
    <row r="714" spans="1:771 1026:1795 2050:2819 3074:3843 4098:4867 5122:5891 6146:6915 7170:7939 8194:8963 9218:9987 10242:11011 11266:12035 12290:13059 13314:14083 14338:15107 15362:16131" s="77" customFormat="1" ht="41.4" x14ac:dyDescent="0.3">
      <c r="A714" s="36"/>
      <c r="B714" s="75"/>
      <c r="C714" s="66" t="s">
        <v>1249</v>
      </c>
      <c r="D714" s="39" t="s">
        <v>13</v>
      </c>
      <c r="E714" s="73">
        <v>7.8</v>
      </c>
      <c r="F714" s="74">
        <v>5284000</v>
      </c>
      <c r="G714" s="40">
        <f t="shared" si="12"/>
        <v>41215200</v>
      </c>
      <c r="H714" s="45" t="s">
        <v>2421</v>
      </c>
    </row>
    <row r="715" spans="1:771 1026:1795 2050:2819 3074:3843 4098:4867 5122:5891 6146:6915 7170:7939 8194:8963 9218:9987 10242:11011 11266:12035 12290:13059 13314:14083 14338:15107 15362:16131" s="77" customFormat="1" ht="18.600000000000001" x14ac:dyDescent="0.3">
      <c r="A715" s="36"/>
      <c r="B715" s="75"/>
      <c r="C715" s="66" t="s">
        <v>260</v>
      </c>
      <c r="D715" s="39" t="s">
        <v>104</v>
      </c>
      <c r="E715" s="73">
        <v>0.28999999999999998</v>
      </c>
      <c r="F715" s="40">
        <v>1533000</v>
      </c>
      <c r="G715" s="40">
        <f t="shared" si="12"/>
        <v>444569.99999999994</v>
      </c>
      <c r="H715" s="45"/>
    </row>
    <row r="716" spans="1:771 1026:1795 2050:2819 3074:3843 4098:4867 5122:5891 6146:6915 7170:7939 8194:8963 9218:9987 10242:11011 11266:12035 12290:13059 13314:14083 14338:15107 15362:16131" s="77" customFormat="1" x14ac:dyDescent="0.3">
      <c r="A716" s="36"/>
      <c r="B716" s="75"/>
      <c r="C716" s="66" t="s">
        <v>105</v>
      </c>
      <c r="D716" s="39" t="s">
        <v>106</v>
      </c>
      <c r="E716" s="73">
        <v>1</v>
      </c>
      <c r="F716" s="74"/>
      <c r="G716" s="40">
        <f t="shared" si="12"/>
        <v>0</v>
      </c>
      <c r="H716" s="52" t="s">
        <v>2353</v>
      </c>
    </row>
    <row r="717" spans="1:771 1026:1795 2050:2819 3074:3843 4098:4867 5122:5891 6146:6915 7170:7939 8194:8963 9218:9987 10242:11011 11266:12035 12290:13059 13314:14083 14338:15107 15362:16131" s="77" customFormat="1" x14ac:dyDescent="0.3">
      <c r="A717" s="36"/>
      <c r="B717" s="75"/>
      <c r="C717" s="66" t="s">
        <v>1250</v>
      </c>
      <c r="D717" s="39" t="s">
        <v>106</v>
      </c>
      <c r="E717" s="73">
        <v>1</v>
      </c>
      <c r="F717" s="40">
        <f>2976000+(236000*10)</f>
        <v>5336000</v>
      </c>
      <c r="G717" s="40">
        <f t="shared" si="12"/>
        <v>5336000</v>
      </c>
      <c r="H717" s="45"/>
    </row>
    <row r="718" spans="1:771 1026:1795 2050:2819 3074:3843 4098:4867 5122:5891 6146:6915 7170:7939 8194:8963 9218:9987 10242:11011 11266:12035 12290:13059 13314:14083 14338:15107 15362:16131" s="35" customFormat="1" ht="65.400000000000006" thickBot="1" x14ac:dyDescent="0.35">
      <c r="A718" s="53"/>
      <c r="B718" s="54"/>
      <c r="C718" s="55" t="s">
        <v>2331</v>
      </c>
      <c r="D718" s="56"/>
      <c r="E718" s="5"/>
      <c r="F718" s="6"/>
      <c r="G718" s="40"/>
      <c r="H718" s="58"/>
    </row>
    <row r="719" spans="1:771 1026:1795 2050:2819 3074:3843 4098:4867 5122:5891 6146:6915 7170:7939 8194:8963 9218:9987 10242:11011 11266:12035 12290:13059 13314:14083 14338:15107 15362:16131" s="59" customFormat="1" ht="31.8" thickBot="1" x14ac:dyDescent="0.35">
      <c r="A719" s="154"/>
      <c r="B719" s="155" t="s">
        <v>26</v>
      </c>
      <c r="C719" s="156"/>
      <c r="D719" s="154"/>
      <c r="E719" s="157"/>
      <c r="F719" s="158"/>
      <c r="G719" s="159">
        <f>SUM(G704:G718)/2</f>
        <v>904329030</v>
      </c>
      <c r="H719" s="160"/>
      <c r="IX719" s="35"/>
      <c r="IY719" s="35"/>
      <c r="ST719" s="35"/>
      <c r="SU719" s="35"/>
      <c r="ACP719" s="35"/>
      <c r="ACQ719" s="35"/>
      <c r="AML719" s="35"/>
      <c r="AMM719" s="35"/>
      <c r="AWH719" s="35"/>
      <c r="AWI719" s="35"/>
      <c r="BGD719" s="35"/>
      <c r="BGE719" s="35"/>
      <c r="BPZ719" s="35"/>
      <c r="BQA719" s="35"/>
      <c r="BZV719" s="35"/>
      <c r="BZW719" s="35"/>
      <c r="CJR719" s="35"/>
      <c r="CJS719" s="35"/>
      <c r="CTN719" s="35"/>
      <c r="CTO719" s="35"/>
      <c r="DDJ719" s="35"/>
      <c r="DDK719" s="35"/>
      <c r="DNF719" s="35"/>
      <c r="DNG719" s="35"/>
      <c r="DXB719" s="35"/>
      <c r="DXC719" s="35"/>
      <c r="EGX719" s="35"/>
      <c r="EGY719" s="35"/>
      <c r="EQT719" s="35"/>
      <c r="EQU719" s="35"/>
      <c r="FAP719" s="35"/>
      <c r="FAQ719" s="35"/>
      <c r="FKL719" s="35"/>
      <c r="FKM719" s="35"/>
      <c r="FUH719" s="35"/>
      <c r="FUI719" s="35"/>
      <c r="GED719" s="35"/>
      <c r="GEE719" s="35"/>
      <c r="GNZ719" s="35"/>
      <c r="GOA719" s="35"/>
      <c r="GXV719" s="35"/>
      <c r="GXW719" s="35"/>
      <c r="HHR719" s="35"/>
      <c r="HHS719" s="35"/>
      <c r="HRN719" s="35"/>
      <c r="HRO719" s="35"/>
      <c r="IBJ719" s="35"/>
      <c r="IBK719" s="35"/>
      <c r="ILF719" s="35"/>
      <c r="ILG719" s="35"/>
      <c r="IVB719" s="35"/>
      <c r="IVC719" s="35"/>
      <c r="JEX719" s="35"/>
      <c r="JEY719" s="35"/>
      <c r="JOT719" s="35"/>
      <c r="JOU719" s="35"/>
      <c r="JYP719" s="35"/>
      <c r="JYQ719" s="35"/>
      <c r="KIL719" s="35"/>
      <c r="KIM719" s="35"/>
      <c r="KSH719" s="35"/>
      <c r="KSI719" s="35"/>
      <c r="LCD719" s="35"/>
      <c r="LCE719" s="35"/>
      <c r="LLZ719" s="35"/>
      <c r="LMA719" s="35"/>
      <c r="LVV719" s="35"/>
      <c r="LVW719" s="35"/>
      <c r="MFR719" s="35"/>
      <c r="MFS719" s="35"/>
      <c r="MPN719" s="35"/>
      <c r="MPO719" s="35"/>
      <c r="MZJ719" s="35"/>
      <c r="MZK719" s="35"/>
      <c r="NJF719" s="35"/>
      <c r="NJG719" s="35"/>
      <c r="NTB719" s="35"/>
      <c r="NTC719" s="35"/>
      <c r="OCX719" s="35"/>
      <c r="OCY719" s="35"/>
      <c r="OMT719" s="35"/>
      <c r="OMU719" s="35"/>
      <c r="OWP719" s="35"/>
      <c r="OWQ719" s="35"/>
      <c r="PGL719" s="35"/>
      <c r="PGM719" s="35"/>
      <c r="PQH719" s="35"/>
      <c r="PQI719" s="35"/>
      <c r="QAD719" s="35"/>
      <c r="QAE719" s="35"/>
      <c r="QJZ719" s="35"/>
      <c r="QKA719" s="35"/>
      <c r="QTV719" s="35"/>
      <c r="QTW719" s="35"/>
      <c r="RDR719" s="35"/>
      <c r="RDS719" s="35"/>
      <c r="RNN719" s="35"/>
      <c r="RNO719" s="35"/>
      <c r="RXJ719" s="35"/>
      <c r="RXK719" s="35"/>
      <c r="SHF719" s="35"/>
      <c r="SHG719" s="35"/>
      <c r="SRB719" s="35"/>
      <c r="SRC719" s="35"/>
      <c r="TAX719" s="35"/>
      <c r="TAY719" s="35"/>
      <c r="TKT719" s="35"/>
      <c r="TKU719" s="35"/>
      <c r="TUP719" s="35"/>
      <c r="TUQ719" s="35"/>
      <c r="UEL719" s="35"/>
      <c r="UEM719" s="35"/>
      <c r="UOH719" s="35"/>
      <c r="UOI719" s="35"/>
      <c r="UYD719" s="35"/>
      <c r="UYE719" s="35"/>
      <c r="VHZ719" s="35"/>
      <c r="VIA719" s="35"/>
      <c r="VRV719" s="35"/>
      <c r="VRW719" s="35"/>
      <c r="WBR719" s="35"/>
      <c r="WBS719" s="35"/>
      <c r="WLN719" s="35"/>
      <c r="WLO719" s="35"/>
      <c r="WVJ719" s="35"/>
      <c r="WVK719" s="35"/>
    </row>
    <row r="720" spans="1:771 1026:1795 2050:2819 3074:3843 4098:4867 5122:5891 6146:6915 7170:7939 8194:8963 9218:9987 10242:11011 11266:12035 12290:13059 13314:14083 14338:15107 15362:16131" s="35" customFormat="1" ht="69" x14ac:dyDescent="0.3">
      <c r="A720" s="28">
        <v>62</v>
      </c>
      <c r="B720" s="29" t="s">
        <v>579</v>
      </c>
      <c r="C720" s="30" t="s">
        <v>584</v>
      </c>
      <c r="D720" s="31" t="s">
        <v>13</v>
      </c>
      <c r="E720" s="32">
        <v>13.5</v>
      </c>
      <c r="F720" s="33"/>
      <c r="G720" s="33"/>
      <c r="H720" s="34" t="s">
        <v>583</v>
      </c>
    </row>
    <row r="721" spans="1:771 1026:1795 2050:2819 3074:3843 4098:4867 5122:5891 6146:6915 7170:7939 8194:8963 9218:9987 10242:11011 11266:12035 12290:13059 13314:14083 14338:15107 15362:16131" s="35" customFormat="1" x14ac:dyDescent="0.3">
      <c r="A721" s="36"/>
      <c r="B721" s="72" t="s">
        <v>578</v>
      </c>
      <c r="C721" s="38" t="s">
        <v>14</v>
      </c>
      <c r="D721" s="39"/>
      <c r="E721" s="44"/>
      <c r="F721" s="40"/>
      <c r="G721" s="41">
        <f>SUM(G722)</f>
        <v>262966500</v>
      </c>
      <c r="H721" s="42"/>
    </row>
    <row r="722" spans="1:771 1026:1795 2050:2819 3074:3843 4098:4867 5122:5891 6146:6915 7170:7939 8194:8963 9218:9987 10242:11011 11266:12035 12290:13059 13314:14083 14338:15107 15362:16131" s="35" customFormat="1" ht="62.4" x14ac:dyDescent="0.3">
      <c r="A722" s="36"/>
      <c r="B722" s="72" t="s">
        <v>581</v>
      </c>
      <c r="C722" s="48" t="s">
        <v>38</v>
      </c>
      <c r="D722" s="39" t="s">
        <v>13</v>
      </c>
      <c r="E722" s="44">
        <v>13.5</v>
      </c>
      <c r="F722" s="161">
        <v>19479000</v>
      </c>
      <c r="G722" s="40">
        <f>E722*F722</f>
        <v>262966500</v>
      </c>
      <c r="H722" s="42"/>
    </row>
    <row r="723" spans="1:771 1026:1795 2050:2819 3074:3843 4098:4867 5122:5891 6146:6915 7170:7939 8194:8963 9218:9987 10242:11011 11266:12035 12290:13059 13314:14083 14338:15107 15362:16131" s="35" customFormat="1" x14ac:dyDescent="0.3">
      <c r="A723" s="36"/>
      <c r="B723" s="72" t="s">
        <v>580</v>
      </c>
      <c r="C723" s="47" t="s">
        <v>35</v>
      </c>
      <c r="D723" s="39"/>
      <c r="E723" s="73"/>
      <c r="F723" s="40"/>
      <c r="G723" s="41">
        <f>SUM(G724)</f>
        <v>136644240</v>
      </c>
      <c r="H723" s="45"/>
    </row>
    <row r="724" spans="1:771 1026:1795 2050:2819 3074:3843 4098:4867 5122:5891 6146:6915 7170:7939 8194:8963 9218:9987 10242:11011 11266:12035 12290:13059 13314:14083 14338:15107 15362:16131" s="35" customFormat="1" ht="124.8" x14ac:dyDescent="0.3">
      <c r="A724" s="36"/>
      <c r="B724" s="50"/>
      <c r="C724" s="66" t="s">
        <v>585</v>
      </c>
      <c r="D724" s="39" t="s">
        <v>234</v>
      </c>
      <c r="E724" s="73">
        <f>12.93+12.93</f>
        <v>25.86</v>
      </c>
      <c r="F724" s="74">
        <v>5284000</v>
      </c>
      <c r="G724" s="40">
        <f>E724*F724</f>
        <v>136644240</v>
      </c>
      <c r="H724" s="45" t="s">
        <v>2422</v>
      </c>
    </row>
    <row r="725" spans="1:771 1026:1795 2050:2819 3074:3843 4098:4867 5122:5891 6146:6915 7170:7939 8194:8963 9218:9987 10242:11011 11266:12035 12290:13059 13314:14083 14338:15107 15362:16131" s="35" customFormat="1" ht="65.400000000000006" thickBot="1" x14ac:dyDescent="0.35">
      <c r="A725" s="53"/>
      <c r="B725" s="54"/>
      <c r="C725" s="55" t="s">
        <v>2331</v>
      </c>
      <c r="D725" s="56"/>
      <c r="E725" s="5"/>
      <c r="F725" s="6"/>
      <c r="G725" s="57"/>
      <c r="H725" s="58"/>
    </row>
    <row r="726" spans="1:771 1026:1795 2050:2819 3074:3843 4098:4867 5122:5891 6146:6915 7170:7939 8194:8963 9218:9987 10242:11011 11266:12035 12290:13059 13314:14083 14338:15107 15362:16131" s="59" customFormat="1" ht="31.8" thickBot="1" x14ac:dyDescent="0.35">
      <c r="A726" s="154"/>
      <c r="B726" s="155" t="s">
        <v>26</v>
      </c>
      <c r="C726" s="156"/>
      <c r="D726" s="154"/>
      <c r="E726" s="157"/>
      <c r="F726" s="158"/>
      <c r="G726" s="159">
        <f>SUM(G720:G725)/2</f>
        <v>399610740</v>
      </c>
      <c r="H726" s="160"/>
      <c r="IX726" s="35"/>
      <c r="IY726" s="35"/>
      <c r="ST726" s="35"/>
      <c r="SU726" s="35"/>
      <c r="ACP726" s="35"/>
      <c r="ACQ726" s="35"/>
      <c r="AML726" s="35"/>
      <c r="AMM726" s="35"/>
      <c r="AWH726" s="35"/>
      <c r="AWI726" s="35"/>
      <c r="BGD726" s="35"/>
      <c r="BGE726" s="35"/>
      <c r="BPZ726" s="35"/>
      <c r="BQA726" s="35"/>
      <c r="BZV726" s="35"/>
      <c r="BZW726" s="35"/>
      <c r="CJR726" s="35"/>
      <c r="CJS726" s="35"/>
      <c r="CTN726" s="35"/>
      <c r="CTO726" s="35"/>
      <c r="DDJ726" s="35"/>
      <c r="DDK726" s="35"/>
      <c r="DNF726" s="35"/>
      <c r="DNG726" s="35"/>
      <c r="DXB726" s="35"/>
      <c r="DXC726" s="35"/>
      <c r="EGX726" s="35"/>
      <c r="EGY726" s="35"/>
      <c r="EQT726" s="35"/>
      <c r="EQU726" s="35"/>
      <c r="FAP726" s="35"/>
      <c r="FAQ726" s="35"/>
      <c r="FKL726" s="35"/>
      <c r="FKM726" s="35"/>
      <c r="FUH726" s="35"/>
      <c r="FUI726" s="35"/>
      <c r="GED726" s="35"/>
      <c r="GEE726" s="35"/>
      <c r="GNZ726" s="35"/>
      <c r="GOA726" s="35"/>
      <c r="GXV726" s="35"/>
      <c r="GXW726" s="35"/>
      <c r="HHR726" s="35"/>
      <c r="HHS726" s="35"/>
      <c r="HRN726" s="35"/>
      <c r="HRO726" s="35"/>
      <c r="IBJ726" s="35"/>
      <c r="IBK726" s="35"/>
      <c r="ILF726" s="35"/>
      <c r="ILG726" s="35"/>
      <c r="IVB726" s="35"/>
      <c r="IVC726" s="35"/>
      <c r="JEX726" s="35"/>
      <c r="JEY726" s="35"/>
      <c r="JOT726" s="35"/>
      <c r="JOU726" s="35"/>
      <c r="JYP726" s="35"/>
      <c r="JYQ726" s="35"/>
      <c r="KIL726" s="35"/>
      <c r="KIM726" s="35"/>
      <c r="KSH726" s="35"/>
      <c r="KSI726" s="35"/>
      <c r="LCD726" s="35"/>
      <c r="LCE726" s="35"/>
      <c r="LLZ726" s="35"/>
      <c r="LMA726" s="35"/>
      <c r="LVV726" s="35"/>
      <c r="LVW726" s="35"/>
      <c r="MFR726" s="35"/>
      <c r="MFS726" s="35"/>
      <c r="MPN726" s="35"/>
      <c r="MPO726" s="35"/>
      <c r="MZJ726" s="35"/>
      <c r="MZK726" s="35"/>
      <c r="NJF726" s="35"/>
      <c r="NJG726" s="35"/>
      <c r="NTB726" s="35"/>
      <c r="NTC726" s="35"/>
      <c r="OCX726" s="35"/>
      <c r="OCY726" s="35"/>
      <c r="OMT726" s="35"/>
      <c r="OMU726" s="35"/>
      <c r="OWP726" s="35"/>
      <c r="OWQ726" s="35"/>
      <c r="PGL726" s="35"/>
      <c r="PGM726" s="35"/>
      <c r="PQH726" s="35"/>
      <c r="PQI726" s="35"/>
      <c r="QAD726" s="35"/>
      <c r="QAE726" s="35"/>
      <c r="QJZ726" s="35"/>
      <c r="QKA726" s="35"/>
      <c r="QTV726" s="35"/>
      <c r="QTW726" s="35"/>
      <c r="RDR726" s="35"/>
      <c r="RDS726" s="35"/>
      <c r="RNN726" s="35"/>
      <c r="RNO726" s="35"/>
      <c r="RXJ726" s="35"/>
      <c r="RXK726" s="35"/>
      <c r="SHF726" s="35"/>
      <c r="SHG726" s="35"/>
      <c r="SRB726" s="35"/>
      <c r="SRC726" s="35"/>
      <c r="TAX726" s="35"/>
      <c r="TAY726" s="35"/>
      <c r="TKT726" s="35"/>
      <c r="TKU726" s="35"/>
      <c r="TUP726" s="35"/>
      <c r="TUQ726" s="35"/>
      <c r="UEL726" s="35"/>
      <c r="UEM726" s="35"/>
      <c r="UOH726" s="35"/>
      <c r="UOI726" s="35"/>
      <c r="UYD726" s="35"/>
      <c r="UYE726" s="35"/>
      <c r="VHZ726" s="35"/>
      <c r="VIA726" s="35"/>
      <c r="VRV726" s="35"/>
      <c r="VRW726" s="35"/>
      <c r="WBR726" s="35"/>
      <c r="WBS726" s="35"/>
      <c r="WLN726" s="35"/>
      <c r="WLO726" s="35"/>
      <c r="WVJ726" s="35"/>
      <c r="WVK726" s="35"/>
    </row>
    <row r="727" spans="1:771 1026:1795 2050:2819 3074:3843 4098:4867 5122:5891 6146:6915 7170:7939 8194:8963 9218:9987 10242:11011 11266:12035 12290:13059 13314:14083 14338:15107 15362:16131" s="35" customFormat="1" ht="69" x14ac:dyDescent="0.3">
      <c r="A727" s="28">
        <v>63</v>
      </c>
      <c r="B727" s="29" t="s">
        <v>586</v>
      </c>
      <c r="C727" s="30" t="s">
        <v>588</v>
      </c>
      <c r="D727" s="31" t="s">
        <v>13</v>
      </c>
      <c r="E727" s="32">
        <v>12.4</v>
      </c>
      <c r="F727" s="33"/>
      <c r="G727" s="33"/>
      <c r="H727" s="34" t="s">
        <v>589</v>
      </c>
    </row>
    <row r="728" spans="1:771 1026:1795 2050:2819 3074:3843 4098:4867 5122:5891 6146:6915 7170:7939 8194:8963 9218:9987 10242:11011 11266:12035 12290:13059 13314:14083 14338:15107 15362:16131" s="35" customFormat="1" x14ac:dyDescent="0.3">
      <c r="A728" s="36"/>
      <c r="B728" s="72" t="s">
        <v>587</v>
      </c>
      <c r="C728" s="38" t="s">
        <v>14</v>
      </c>
      <c r="D728" s="39"/>
      <c r="E728" s="44"/>
      <c r="F728" s="40"/>
      <c r="G728" s="41">
        <f>SUM(G729)</f>
        <v>241539600</v>
      </c>
      <c r="H728" s="42"/>
    </row>
    <row r="729" spans="1:771 1026:1795 2050:2819 3074:3843 4098:4867 5122:5891 6146:6915 7170:7939 8194:8963 9218:9987 10242:11011 11266:12035 12290:13059 13314:14083 14338:15107 15362:16131" s="35" customFormat="1" ht="62.4" x14ac:dyDescent="0.3">
      <c r="A729" s="36"/>
      <c r="B729" s="72" t="s">
        <v>600</v>
      </c>
      <c r="C729" s="48" t="s">
        <v>38</v>
      </c>
      <c r="D729" s="39" t="s">
        <v>13</v>
      </c>
      <c r="E729" s="44">
        <v>12.4</v>
      </c>
      <c r="F729" s="161">
        <v>19479000</v>
      </c>
      <c r="G729" s="40">
        <f>E729*F729</f>
        <v>241539600</v>
      </c>
      <c r="H729" s="42"/>
    </row>
    <row r="730" spans="1:771 1026:1795 2050:2819 3074:3843 4098:4867 5122:5891 6146:6915 7170:7939 8194:8963 9218:9987 10242:11011 11266:12035 12290:13059 13314:14083 14338:15107 15362:16131" s="35" customFormat="1" x14ac:dyDescent="0.3">
      <c r="A730" s="36"/>
      <c r="B730" s="50"/>
      <c r="C730" s="47" t="s">
        <v>35</v>
      </c>
      <c r="D730" s="39"/>
      <c r="E730" s="73"/>
      <c r="F730" s="40"/>
      <c r="G730" s="41">
        <f>SUM(G731)</f>
        <v>17849366.399999999</v>
      </c>
      <c r="H730" s="45"/>
    </row>
    <row r="731" spans="1:771 1026:1795 2050:2819 3074:3843 4098:4867 5122:5891 6146:6915 7170:7939 8194:8963 9218:9987 10242:11011 11266:12035 12290:13059 13314:14083 14338:15107 15362:16131" s="35" customFormat="1" ht="96.6" x14ac:dyDescent="0.3">
      <c r="A731" s="36"/>
      <c r="B731" s="50"/>
      <c r="C731" s="101" t="s">
        <v>590</v>
      </c>
      <c r="D731" s="39" t="s">
        <v>234</v>
      </c>
      <c r="E731" s="73">
        <f>2.05*6.06</f>
        <v>12.422999999999998</v>
      </c>
      <c r="F731" s="74">
        <f>3592000*40%</f>
        <v>1436800</v>
      </c>
      <c r="G731" s="40">
        <f>E731*F731</f>
        <v>17849366.399999999</v>
      </c>
      <c r="H731" s="45" t="s">
        <v>2423</v>
      </c>
    </row>
    <row r="732" spans="1:771 1026:1795 2050:2819 3074:3843 4098:4867 5122:5891 6146:6915 7170:7939 8194:8963 9218:9987 10242:11011 11266:12035 12290:13059 13314:14083 14338:15107 15362:16131" s="35" customFormat="1" ht="65.400000000000006" thickBot="1" x14ac:dyDescent="0.35">
      <c r="A732" s="53"/>
      <c r="B732" s="54"/>
      <c r="C732" s="55" t="s">
        <v>2331</v>
      </c>
      <c r="D732" s="56"/>
      <c r="E732" s="5"/>
      <c r="F732" s="6"/>
      <c r="G732" s="57"/>
      <c r="H732" s="58"/>
    </row>
    <row r="733" spans="1:771 1026:1795 2050:2819 3074:3843 4098:4867 5122:5891 6146:6915 7170:7939 8194:8963 9218:9987 10242:11011 11266:12035 12290:13059 13314:14083 14338:15107 15362:16131" s="59" customFormat="1" ht="31.8" thickBot="1" x14ac:dyDescent="0.35">
      <c r="A733" s="154"/>
      <c r="B733" s="155" t="s">
        <v>26</v>
      </c>
      <c r="C733" s="156"/>
      <c r="D733" s="154"/>
      <c r="E733" s="157"/>
      <c r="F733" s="158"/>
      <c r="G733" s="159">
        <f>SUM(G727:G732)/2</f>
        <v>259388966.39999998</v>
      </c>
      <c r="H733" s="160"/>
      <c r="IX733" s="35"/>
      <c r="IY733" s="35"/>
      <c r="ST733" s="35"/>
      <c r="SU733" s="35"/>
      <c r="ACP733" s="35"/>
      <c r="ACQ733" s="35"/>
      <c r="AML733" s="35"/>
      <c r="AMM733" s="35"/>
      <c r="AWH733" s="35"/>
      <c r="AWI733" s="35"/>
      <c r="BGD733" s="35"/>
      <c r="BGE733" s="35"/>
      <c r="BPZ733" s="35"/>
      <c r="BQA733" s="35"/>
      <c r="BZV733" s="35"/>
      <c r="BZW733" s="35"/>
      <c r="CJR733" s="35"/>
      <c r="CJS733" s="35"/>
      <c r="CTN733" s="35"/>
      <c r="CTO733" s="35"/>
      <c r="DDJ733" s="35"/>
      <c r="DDK733" s="35"/>
      <c r="DNF733" s="35"/>
      <c r="DNG733" s="35"/>
      <c r="DXB733" s="35"/>
      <c r="DXC733" s="35"/>
      <c r="EGX733" s="35"/>
      <c r="EGY733" s="35"/>
      <c r="EQT733" s="35"/>
      <c r="EQU733" s="35"/>
      <c r="FAP733" s="35"/>
      <c r="FAQ733" s="35"/>
      <c r="FKL733" s="35"/>
      <c r="FKM733" s="35"/>
      <c r="FUH733" s="35"/>
      <c r="FUI733" s="35"/>
      <c r="GED733" s="35"/>
      <c r="GEE733" s="35"/>
      <c r="GNZ733" s="35"/>
      <c r="GOA733" s="35"/>
      <c r="GXV733" s="35"/>
      <c r="GXW733" s="35"/>
      <c r="HHR733" s="35"/>
      <c r="HHS733" s="35"/>
      <c r="HRN733" s="35"/>
      <c r="HRO733" s="35"/>
      <c r="IBJ733" s="35"/>
      <c r="IBK733" s="35"/>
      <c r="ILF733" s="35"/>
      <c r="ILG733" s="35"/>
      <c r="IVB733" s="35"/>
      <c r="IVC733" s="35"/>
      <c r="JEX733" s="35"/>
      <c r="JEY733" s="35"/>
      <c r="JOT733" s="35"/>
      <c r="JOU733" s="35"/>
      <c r="JYP733" s="35"/>
      <c r="JYQ733" s="35"/>
      <c r="KIL733" s="35"/>
      <c r="KIM733" s="35"/>
      <c r="KSH733" s="35"/>
      <c r="KSI733" s="35"/>
      <c r="LCD733" s="35"/>
      <c r="LCE733" s="35"/>
      <c r="LLZ733" s="35"/>
      <c r="LMA733" s="35"/>
      <c r="LVV733" s="35"/>
      <c r="LVW733" s="35"/>
      <c r="MFR733" s="35"/>
      <c r="MFS733" s="35"/>
      <c r="MPN733" s="35"/>
      <c r="MPO733" s="35"/>
      <c r="MZJ733" s="35"/>
      <c r="MZK733" s="35"/>
      <c r="NJF733" s="35"/>
      <c r="NJG733" s="35"/>
      <c r="NTB733" s="35"/>
      <c r="NTC733" s="35"/>
      <c r="OCX733" s="35"/>
      <c r="OCY733" s="35"/>
      <c r="OMT733" s="35"/>
      <c r="OMU733" s="35"/>
      <c r="OWP733" s="35"/>
      <c r="OWQ733" s="35"/>
      <c r="PGL733" s="35"/>
      <c r="PGM733" s="35"/>
      <c r="PQH733" s="35"/>
      <c r="PQI733" s="35"/>
      <c r="QAD733" s="35"/>
      <c r="QAE733" s="35"/>
      <c r="QJZ733" s="35"/>
      <c r="QKA733" s="35"/>
      <c r="QTV733" s="35"/>
      <c r="QTW733" s="35"/>
      <c r="RDR733" s="35"/>
      <c r="RDS733" s="35"/>
      <c r="RNN733" s="35"/>
      <c r="RNO733" s="35"/>
      <c r="RXJ733" s="35"/>
      <c r="RXK733" s="35"/>
      <c r="SHF733" s="35"/>
      <c r="SHG733" s="35"/>
      <c r="SRB733" s="35"/>
      <c r="SRC733" s="35"/>
      <c r="TAX733" s="35"/>
      <c r="TAY733" s="35"/>
      <c r="TKT733" s="35"/>
      <c r="TKU733" s="35"/>
      <c r="TUP733" s="35"/>
      <c r="TUQ733" s="35"/>
      <c r="UEL733" s="35"/>
      <c r="UEM733" s="35"/>
      <c r="UOH733" s="35"/>
      <c r="UOI733" s="35"/>
      <c r="UYD733" s="35"/>
      <c r="UYE733" s="35"/>
      <c r="VHZ733" s="35"/>
      <c r="VIA733" s="35"/>
      <c r="VRV733" s="35"/>
      <c r="VRW733" s="35"/>
      <c r="WBR733" s="35"/>
      <c r="WBS733" s="35"/>
      <c r="WLN733" s="35"/>
      <c r="WLO733" s="35"/>
      <c r="WVJ733" s="35"/>
      <c r="WVK733" s="35"/>
    </row>
    <row r="734" spans="1:771 1026:1795 2050:2819 3074:3843 4098:4867 5122:5891 6146:6915 7170:7939 8194:8963 9218:9987 10242:11011 11266:12035 12290:13059 13314:14083 14338:15107 15362:16131" s="35" customFormat="1" ht="69" x14ac:dyDescent="0.3">
      <c r="A734" s="28">
        <v>64</v>
      </c>
      <c r="B734" s="29" t="s">
        <v>591</v>
      </c>
      <c r="C734" s="30" t="s">
        <v>595</v>
      </c>
      <c r="D734" s="31" t="s">
        <v>13</v>
      </c>
      <c r="E734" s="32">
        <v>8.3000000000000007</v>
      </c>
      <c r="F734" s="33"/>
      <c r="G734" s="33"/>
      <c r="H734" s="34" t="s">
        <v>596</v>
      </c>
    </row>
    <row r="735" spans="1:771 1026:1795 2050:2819 3074:3843 4098:4867 5122:5891 6146:6915 7170:7939 8194:8963 9218:9987 10242:11011 11266:12035 12290:13059 13314:14083 14338:15107 15362:16131" s="35" customFormat="1" x14ac:dyDescent="0.3">
      <c r="A735" s="36"/>
      <c r="B735" s="72" t="s">
        <v>592</v>
      </c>
      <c r="C735" s="38" t="s">
        <v>14</v>
      </c>
      <c r="D735" s="39"/>
      <c r="E735" s="44"/>
      <c r="F735" s="40"/>
      <c r="G735" s="41">
        <f>SUM(G736)</f>
        <v>161675700</v>
      </c>
      <c r="H735" s="42"/>
    </row>
    <row r="736" spans="1:771 1026:1795 2050:2819 3074:3843 4098:4867 5122:5891 6146:6915 7170:7939 8194:8963 9218:9987 10242:11011 11266:12035 12290:13059 13314:14083 14338:15107 15362:16131" s="35" customFormat="1" ht="46.8" x14ac:dyDescent="0.3">
      <c r="A736" s="36"/>
      <c r="B736" s="72" t="s">
        <v>593</v>
      </c>
      <c r="C736" s="48" t="s">
        <v>38</v>
      </c>
      <c r="D736" s="39" t="s">
        <v>13</v>
      </c>
      <c r="E736" s="44">
        <v>8.3000000000000007</v>
      </c>
      <c r="F736" s="161">
        <v>19479000</v>
      </c>
      <c r="G736" s="40">
        <f>E736*F736</f>
        <v>161675700</v>
      </c>
      <c r="H736" s="42"/>
    </row>
    <row r="737" spans="1:771 1026:1795 2050:2819 3074:3843 4098:4867 5122:5891 6146:6915 7170:7939 8194:8963 9218:9987 10242:11011 11266:12035 12290:13059 13314:14083 14338:15107 15362:16131" s="35" customFormat="1" x14ac:dyDescent="0.3">
      <c r="A737" s="36"/>
      <c r="B737" s="72" t="s">
        <v>594</v>
      </c>
      <c r="C737" s="47" t="s">
        <v>35</v>
      </c>
      <c r="D737" s="39"/>
      <c r="E737" s="73"/>
      <c r="F737" s="40"/>
      <c r="G737" s="41">
        <f>SUM(G738:G739)</f>
        <v>88390752.000000015</v>
      </c>
      <c r="H737" s="45"/>
    </row>
    <row r="738" spans="1:771 1026:1795 2050:2819 3074:3843 4098:4867 5122:5891 6146:6915 7170:7939 8194:8963 9218:9987 10242:11011 11266:12035 12290:13059 13314:14083 14338:15107 15362:16131" s="35" customFormat="1" ht="124.8" x14ac:dyDescent="0.3">
      <c r="A738" s="36"/>
      <c r="B738" s="50"/>
      <c r="C738" s="66" t="s">
        <v>597</v>
      </c>
      <c r="D738" s="39" t="s">
        <v>234</v>
      </c>
      <c r="E738" s="73">
        <v>16.728000000000002</v>
      </c>
      <c r="F738" s="74">
        <v>5284000</v>
      </c>
      <c r="G738" s="40">
        <f>E738*F738</f>
        <v>88390752.000000015</v>
      </c>
      <c r="H738" s="45" t="s">
        <v>2424</v>
      </c>
    </row>
    <row r="739" spans="1:771 1026:1795 2050:2819 3074:3843 4098:4867 5122:5891 6146:6915 7170:7939 8194:8963 9218:9987 10242:11011 11266:12035 12290:13059 13314:14083 14338:15107 15362:16131" s="35" customFormat="1" x14ac:dyDescent="0.3">
      <c r="A739" s="36"/>
      <c r="B739" s="50"/>
      <c r="C739" s="66" t="s">
        <v>105</v>
      </c>
      <c r="D739" s="39" t="s">
        <v>106</v>
      </c>
      <c r="E739" s="73">
        <v>1</v>
      </c>
      <c r="F739" s="74"/>
      <c r="G739" s="40">
        <f>E739*F739</f>
        <v>0</v>
      </c>
      <c r="H739" s="52" t="s">
        <v>2353</v>
      </c>
    </row>
    <row r="740" spans="1:771 1026:1795 2050:2819 3074:3843 4098:4867 5122:5891 6146:6915 7170:7939 8194:8963 9218:9987 10242:11011 11266:12035 12290:13059 13314:14083 14338:15107 15362:16131" s="35" customFormat="1" ht="65.400000000000006" thickBot="1" x14ac:dyDescent="0.35">
      <c r="A740" s="53"/>
      <c r="B740" s="54"/>
      <c r="C740" s="55" t="s">
        <v>2331</v>
      </c>
      <c r="D740" s="56"/>
      <c r="E740" s="5"/>
      <c r="F740" s="6"/>
      <c r="G740" s="57"/>
      <c r="H740" s="58"/>
    </row>
    <row r="741" spans="1:771 1026:1795 2050:2819 3074:3843 4098:4867 5122:5891 6146:6915 7170:7939 8194:8963 9218:9987 10242:11011 11266:12035 12290:13059 13314:14083 14338:15107 15362:16131" s="59" customFormat="1" ht="31.8" thickBot="1" x14ac:dyDescent="0.35">
      <c r="A741" s="154"/>
      <c r="B741" s="155" t="s">
        <v>26</v>
      </c>
      <c r="C741" s="156"/>
      <c r="D741" s="154"/>
      <c r="E741" s="157"/>
      <c r="F741" s="158"/>
      <c r="G741" s="159">
        <f>SUM(G734:G740)/2</f>
        <v>250066452</v>
      </c>
      <c r="H741" s="160"/>
      <c r="IX741" s="35"/>
      <c r="IY741" s="35"/>
      <c r="ST741" s="35"/>
      <c r="SU741" s="35"/>
      <c r="ACP741" s="35"/>
      <c r="ACQ741" s="35"/>
      <c r="AML741" s="35"/>
      <c r="AMM741" s="35"/>
      <c r="AWH741" s="35"/>
      <c r="AWI741" s="35"/>
      <c r="BGD741" s="35"/>
      <c r="BGE741" s="35"/>
      <c r="BPZ741" s="35"/>
      <c r="BQA741" s="35"/>
      <c r="BZV741" s="35"/>
      <c r="BZW741" s="35"/>
      <c r="CJR741" s="35"/>
      <c r="CJS741" s="35"/>
      <c r="CTN741" s="35"/>
      <c r="CTO741" s="35"/>
      <c r="DDJ741" s="35"/>
      <c r="DDK741" s="35"/>
      <c r="DNF741" s="35"/>
      <c r="DNG741" s="35"/>
      <c r="DXB741" s="35"/>
      <c r="DXC741" s="35"/>
      <c r="EGX741" s="35"/>
      <c r="EGY741" s="35"/>
      <c r="EQT741" s="35"/>
      <c r="EQU741" s="35"/>
      <c r="FAP741" s="35"/>
      <c r="FAQ741" s="35"/>
      <c r="FKL741" s="35"/>
      <c r="FKM741" s="35"/>
      <c r="FUH741" s="35"/>
      <c r="FUI741" s="35"/>
      <c r="GED741" s="35"/>
      <c r="GEE741" s="35"/>
      <c r="GNZ741" s="35"/>
      <c r="GOA741" s="35"/>
      <c r="GXV741" s="35"/>
      <c r="GXW741" s="35"/>
      <c r="HHR741" s="35"/>
      <c r="HHS741" s="35"/>
      <c r="HRN741" s="35"/>
      <c r="HRO741" s="35"/>
      <c r="IBJ741" s="35"/>
      <c r="IBK741" s="35"/>
      <c r="ILF741" s="35"/>
      <c r="ILG741" s="35"/>
      <c r="IVB741" s="35"/>
      <c r="IVC741" s="35"/>
      <c r="JEX741" s="35"/>
      <c r="JEY741" s="35"/>
      <c r="JOT741" s="35"/>
      <c r="JOU741" s="35"/>
      <c r="JYP741" s="35"/>
      <c r="JYQ741" s="35"/>
      <c r="KIL741" s="35"/>
      <c r="KIM741" s="35"/>
      <c r="KSH741" s="35"/>
      <c r="KSI741" s="35"/>
      <c r="LCD741" s="35"/>
      <c r="LCE741" s="35"/>
      <c r="LLZ741" s="35"/>
      <c r="LMA741" s="35"/>
      <c r="LVV741" s="35"/>
      <c r="LVW741" s="35"/>
      <c r="MFR741" s="35"/>
      <c r="MFS741" s="35"/>
      <c r="MPN741" s="35"/>
      <c r="MPO741" s="35"/>
      <c r="MZJ741" s="35"/>
      <c r="MZK741" s="35"/>
      <c r="NJF741" s="35"/>
      <c r="NJG741" s="35"/>
      <c r="NTB741" s="35"/>
      <c r="NTC741" s="35"/>
      <c r="OCX741" s="35"/>
      <c r="OCY741" s="35"/>
      <c r="OMT741" s="35"/>
      <c r="OMU741" s="35"/>
      <c r="OWP741" s="35"/>
      <c r="OWQ741" s="35"/>
      <c r="PGL741" s="35"/>
      <c r="PGM741" s="35"/>
      <c r="PQH741" s="35"/>
      <c r="PQI741" s="35"/>
      <c r="QAD741" s="35"/>
      <c r="QAE741" s="35"/>
      <c r="QJZ741" s="35"/>
      <c r="QKA741" s="35"/>
      <c r="QTV741" s="35"/>
      <c r="QTW741" s="35"/>
      <c r="RDR741" s="35"/>
      <c r="RDS741" s="35"/>
      <c r="RNN741" s="35"/>
      <c r="RNO741" s="35"/>
      <c r="RXJ741" s="35"/>
      <c r="RXK741" s="35"/>
      <c r="SHF741" s="35"/>
      <c r="SHG741" s="35"/>
      <c r="SRB741" s="35"/>
      <c r="SRC741" s="35"/>
      <c r="TAX741" s="35"/>
      <c r="TAY741" s="35"/>
      <c r="TKT741" s="35"/>
      <c r="TKU741" s="35"/>
      <c r="TUP741" s="35"/>
      <c r="TUQ741" s="35"/>
      <c r="UEL741" s="35"/>
      <c r="UEM741" s="35"/>
      <c r="UOH741" s="35"/>
      <c r="UOI741" s="35"/>
      <c r="UYD741" s="35"/>
      <c r="UYE741" s="35"/>
      <c r="VHZ741" s="35"/>
      <c r="VIA741" s="35"/>
      <c r="VRV741" s="35"/>
      <c r="VRW741" s="35"/>
      <c r="WBR741" s="35"/>
      <c r="WBS741" s="35"/>
      <c r="WLN741" s="35"/>
      <c r="WLO741" s="35"/>
      <c r="WVJ741" s="35"/>
      <c r="WVK741" s="35"/>
    </row>
    <row r="742" spans="1:771 1026:1795 2050:2819 3074:3843 4098:4867 5122:5891 6146:6915 7170:7939 8194:8963 9218:9987 10242:11011 11266:12035 12290:13059 13314:14083 14338:15107 15362:16131" s="35" customFormat="1" ht="69" x14ac:dyDescent="0.3">
      <c r="A742" s="28">
        <v>65</v>
      </c>
      <c r="B742" s="29" t="s">
        <v>598</v>
      </c>
      <c r="C742" s="30" t="s">
        <v>603</v>
      </c>
      <c r="D742" s="31" t="s">
        <v>13</v>
      </c>
      <c r="E742" s="32">
        <v>7.7</v>
      </c>
      <c r="F742" s="33"/>
      <c r="G742" s="33"/>
      <c r="H742" s="34" t="s">
        <v>602</v>
      </c>
    </row>
    <row r="743" spans="1:771 1026:1795 2050:2819 3074:3843 4098:4867 5122:5891 6146:6915 7170:7939 8194:8963 9218:9987 10242:11011 11266:12035 12290:13059 13314:14083 14338:15107 15362:16131" s="35" customFormat="1" x14ac:dyDescent="0.3">
      <c r="A743" s="36"/>
      <c r="B743" s="72" t="s">
        <v>599</v>
      </c>
      <c r="C743" s="38" t="s">
        <v>14</v>
      </c>
      <c r="D743" s="39"/>
      <c r="E743" s="44"/>
      <c r="F743" s="40"/>
      <c r="G743" s="41">
        <f>SUM(G744:G748)</f>
        <v>610072500</v>
      </c>
      <c r="H743" s="42"/>
    </row>
    <row r="744" spans="1:771 1026:1795 2050:2819 3074:3843 4098:4867 5122:5891 6146:6915 7170:7939 8194:8963 9218:9987 10242:11011 11266:12035 12290:13059 13314:14083 14338:15107 15362:16131" s="35" customFormat="1" ht="62.4" x14ac:dyDescent="0.3">
      <c r="A744" s="36"/>
      <c r="B744" s="72" t="s">
        <v>499</v>
      </c>
      <c r="C744" s="48" t="s">
        <v>38</v>
      </c>
      <c r="D744" s="39" t="s">
        <v>13</v>
      </c>
      <c r="E744" s="44">
        <v>7.7</v>
      </c>
      <c r="F744" s="161">
        <v>19479000</v>
      </c>
      <c r="G744" s="40">
        <f>E744*F744</f>
        <v>149988300</v>
      </c>
      <c r="H744" s="42"/>
    </row>
    <row r="745" spans="1:771 1026:1795 2050:2819 3074:3843 4098:4867 5122:5891 6146:6915 7170:7939 8194:8963 9218:9987 10242:11011 11266:12035 12290:13059 13314:14083 14338:15107 15362:16131" s="166" customFormat="1" ht="55.2" x14ac:dyDescent="0.25">
      <c r="A745" s="167"/>
      <c r="B745" s="178"/>
      <c r="C745" s="63" t="s">
        <v>930</v>
      </c>
      <c r="D745" s="76" t="s">
        <v>13</v>
      </c>
      <c r="E745" s="73">
        <v>19.399999999999999</v>
      </c>
      <c r="F745" s="74"/>
      <c r="G745" s="40">
        <f>E745*F745</f>
        <v>0</v>
      </c>
      <c r="H745" s="42" t="s">
        <v>931</v>
      </c>
    </row>
    <row r="746" spans="1:771 1026:1795 2050:2819 3074:3843 4098:4867 5122:5891 6146:6915 7170:7939 8194:8963 9218:9987 10242:11011 11266:12035 12290:13059 13314:14083 14338:15107 15362:16131" s="166" customFormat="1" ht="18.600000000000001" x14ac:dyDescent="0.3">
      <c r="A746" s="167"/>
      <c r="B746" s="168"/>
      <c r="C746" s="48" t="s">
        <v>38</v>
      </c>
      <c r="D746" s="76" t="s">
        <v>13</v>
      </c>
      <c r="E746" s="73">
        <v>19.399999999999999</v>
      </c>
      <c r="F746" s="161">
        <v>19479000</v>
      </c>
      <c r="G746" s="40">
        <f>E746*F746</f>
        <v>377892600</v>
      </c>
      <c r="H746" s="42"/>
    </row>
    <row r="747" spans="1:771 1026:1795 2050:2819 3074:3843 4098:4867 5122:5891 6146:6915 7170:7939 8194:8963 9218:9987 10242:11011 11266:12035 12290:13059 13314:14083 14338:15107 15362:16131" s="35" customFormat="1" ht="55.2" x14ac:dyDescent="0.3">
      <c r="A747" s="36"/>
      <c r="B747" s="70"/>
      <c r="C747" s="48" t="s">
        <v>1052</v>
      </c>
      <c r="D747" s="39" t="s">
        <v>13</v>
      </c>
      <c r="E747" s="44">
        <v>7.9</v>
      </c>
      <c r="F747" s="40"/>
      <c r="G747" s="40">
        <f>E747*F747</f>
        <v>0</v>
      </c>
      <c r="H747" s="42" t="s">
        <v>2180</v>
      </c>
    </row>
    <row r="748" spans="1:771 1026:1795 2050:2819 3074:3843 4098:4867 5122:5891 6146:6915 7170:7939 8194:8963 9218:9987 10242:11011 11266:12035 12290:13059 13314:14083 14338:15107 15362:16131" s="35" customFormat="1" ht="31.2" x14ac:dyDescent="0.3">
      <c r="A748" s="36"/>
      <c r="B748" s="72"/>
      <c r="C748" s="43" t="s">
        <v>55</v>
      </c>
      <c r="D748" s="39" t="s">
        <v>13</v>
      </c>
      <c r="E748" s="73">
        <v>7.9</v>
      </c>
      <c r="F748" s="153">
        <v>10404000</v>
      </c>
      <c r="G748" s="40">
        <f>E748*F748</f>
        <v>82191600</v>
      </c>
      <c r="H748" s="42"/>
    </row>
    <row r="749" spans="1:771 1026:1795 2050:2819 3074:3843 4098:4867 5122:5891 6146:6915 7170:7939 8194:8963 9218:9987 10242:11011 11266:12035 12290:13059 13314:14083 14338:15107 15362:16131" s="35" customFormat="1" x14ac:dyDescent="0.3">
      <c r="A749" s="36"/>
      <c r="B749" s="72" t="s">
        <v>601</v>
      </c>
      <c r="C749" s="47" t="s">
        <v>35</v>
      </c>
      <c r="D749" s="39"/>
      <c r="E749" s="73"/>
      <c r="F749" s="40"/>
      <c r="G749" s="41">
        <f>SUM(G750:G761)</f>
        <v>75281836</v>
      </c>
      <c r="H749" s="45"/>
    </row>
    <row r="750" spans="1:771 1026:1795 2050:2819 3074:3843 4098:4867 5122:5891 6146:6915 7170:7939 8194:8963 9218:9987 10242:11011 11266:12035 12290:13059 13314:14083 14338:15107 15362:16131" s="35" customFormat="1" ht="109.2" x14ac:dyDescent="0.3">
      <c r="A750" s="36"/>
      <c r="B750" s="50"/>
      <c r="C750" s="66" t="s">
        <v>604</v>
      </c>
      <c r="D750" s="39" t="s">
        <v>234</v>
      </c>
      <c r="E750" s="73">
        <f>2.05*3.8</f>
        <v>7.7899999999999991</v>
      </c>
      <c r="F750" s="74">
        <f>3592000*40%</f>
        <v>1436800</v>
      </c>
      <c r="G750" s="40">
        <f t="shared" ref="G750:G761" si="13">E750*F750</f>
        <v>11192671.999999998</v>
      </c>
      <c r="H750" s="45" t="s">
        <v>2425</v>
      </c>
    </row>
    <row r="751" spans="1:771 1026:1795 2050:2819 3074:3843 4098:4867 5122:5891 6146:6915 7170:7939 8194:8963 9218:9987 10242:11011 11266:12035 12290:13059 13314:14083 14338:15107 15362:16131" s="35" customFormat="1" x14ac:dyDescent="0.3">
      <c r="A751" s="36"/>
      <c r="B751" s="50"/>
      <c r="C751" s="66" t="s">
        <v>605</v>
      </c>
      <c r="D751" s="39" t="s">
        <v>234</v>
      </c>
      <c r="E751" s="73">
        <f>6.2*1.85*2</f>
        <v>22.94</v>
      </c>
      <c r="F751" s="74">
        <v>396000</v>
      </c>
      <c r="G751" s="40">
        <f t="shared" si="13"/>
        <v>9084240</v>
      </c>
      <c r="H751" s="45"/>
    </row>
    <row r="752" spans="1:771 1026:1795 2050:2819 3074:3843 4098:4867 5122:5891 6146:6915 7170:7939 8194:8963 9218:9987 10242:11011 11266:12035 12290:13059 13314:14083 14338:15107 15362:16131" s="35" customFormat="1" x14ac:dyDescent="0.3">
      <c r="A752" s="36"/>
      <c r="B752" s="50"/>
      <c r="C752" s="66" t="s">
        <v>606</v>
      </c>
      <c r="D752" s="39" t="s">
        <v>234</v>
      </c>
      <c r="E752" s="73">
        <v>25.56</v>
      </c>
      <c r="F752" s="74">
        <v>635000</v>
      </c>
      <c r="G752" s="40">
        <f t="shared" si="13"/>
        <v>16230600</v>
      </c>
      <c r="H752" s="45"/>
    </row>
    <row r="753" spans="1:8" s="35" customFormat="1" x14ac:dyDescent="0.3">
      <c r="A753" s="36"/>
      <c r="B753" s="50"/>
      <c r="C753" s="66" t="s">
        <v>105</v>
      </c>
      <c r="D753" s="39" t="s">
        <v>106</v>
      </c>
      <c r="E753" s="73">
        <v>1</v>
      </c>
      <c r="F753" s="74"/>
      <c r="G753" s="40">
        <f t="shared" si="13"/>
        <v>0</v>
      </c>
      <c r="H753" s="52" t="s">
        <v>2353</v>
      </c>
    </row>
    <row r="754" spans="1:8" s="166" customFormat="1" ht="27.6" x14ac:dyDescent="0.25">
      <c r="A754" s="167"/>
      <c r="B754" s="169"/>
      <c r="C754" s="66" t="s">
        <v>932</v>
      </c>
      <c r="D754" s="76" t="s">
        <v>891</v>
      </c>
      <c r="E754" s="73">
        <f>(9.4*2.1)</f>
        <v>19.740000000000002</v>
      </c>
      <c r="F754" s="74">
        <v>258000</v>
      </c>
      <c r="G754" s="40">
        <f t="shared" si="13"/>
        <v>5092920.0000000009</v>
      </c>
      <c r="H754" s="45" t="s">
        <v>933</v>
      </c>
    </row>
    <row r="755" spans="1:8" s="166" customFormat="1" ht="46.8" x14ac:dyDescent="0.25">
      <c r="A755" s="167"/>
      <c r="B755" s="169"/>
      <c r="C755" s="66" t="s">
        <v>934</v>
      </c>
      <c r="D755" s="76" t="s">
        <v>891</v>
      </c>
      <c r="E755" s="73">
        <f>(1.7*(2.1+0.6))</f>
        <v>4.59</v>
      </c>
      <c r="F755" s="74">
        <v>1032000</v>
      </c>
      <c r="G755" s="40">
        <f t="shared" si="13"/>
        <v>4736880</v>
      </c>
      <c r="H755" s="45" t="s">
        <v>935</v>
      </c>
    </row>
    <row r="756" spans="1:8" s="166" customFormat="1" ht="31.2" x14ac:dyDescent="0.25">
      <c r="A756" s="167"/>
      <c r="B756" s="169"/>
      <c r="C756" s="66" t="s">
        <v>936</v>
      </c>
      <c r="D756" s="76" t="s">
        <v>891</v>
      </c>
      <c r="E756" s="73">
        <f>0.6*0.6*3.1*2</f>
        <v>2.2319999999999998</v>
      </c>
      <c r="F756" s="40">
        <v>6337000</v>
      </c>
      <c r="G756" s="40">
        <f t="shared" si="13"/>
        <v>14144183.999999998</v>
      </c>
      <c r="H756" s="45"/>
    </row>
    <row r="757" spans="1:8" s="166" customFormat="1" x14ac:dyDescent="0.25">
      <c r="A757" s="167"/>
      <c r="B757" s="169"/>
      <c r="C757" s="66" t="s">
        <v>937</v>
      </c>
      <c r="D757" s="76" t="s">
        <v>891</v>
      </c>
      <c r="E757" s="73">
        <f>0.6*3.1*8</f>
        <v>14.879999999999999</v>
      </c>
      <c r="F757" s="74">
        <v>400000</v>
      </c>
      <c r="G757" s="40">
        <f t="shared" si="13"/>
        <v>5952000</v>
      </c>
      <c r="H757" s="45"/>
    </row>
    <row r="758" spans="1:8" s="166" customFormat="1" x14ac:dyDescent="0.25">
      <c r="A758" s="167"/>
      <c r="B758" s="169"/>
      <c r="C758" s="66" t="s">
        <v>938</v>
      </c>
      <c r="D758" s="76" t="s">
        <v>891</v>
      </c>
      <c r="E758" s="73">
        <f>(1.6*0.6)+(4.6*0.9)+(2.35*0.37)+(0.9*0.25)+(0.76*0.37)+(3.04*0.25)</f>
        <v>7.2356999999999996</v>
      </c>
      <c r="F758" s="74"/>
      <c r="G758" s="40">
        <f t="shared" si="13"/>
        <v>0</v>
      </c>
      <c r="H758" s="45"/>
    </row>
    <row r="759" spans="1:8" s="166" customFormat="1" ht="31.2" x14ac:dyDescent="0.25">
      <c r="A759" s="167"/>
      <c r="B759" s="169"/>
      <c r="C759" s="66" t="s">
        <v>939</v>
      </c>
      <c r="D759" s="76" t="s">
        <v>891</v>
      </c>
      <c r="E759" s="73">
        <f>(3*2.7)+(1.06*2.4)</f>
        <v>10.644000000000002</v>
      </c>
      <c r="F759" s="40">
        <v>100000</v>
      </c>
      <c r="G759" s="40">
        <f t="shared" si="13"/>
        <v>1064400.0000000002</v>
      </c>
      <c r="H759" s="45"/>
    </row>
    <row r="760" spans="1:8" s="166" customFormat="1" ht="46.8" x14ac:dyDescent="0.25">
      <c r="A760" s="167"/>
      <c r="B760" s="169"/>
      <c r="C760" s="66" t="s">
        <v>940</v>
      </c>
      <c r="D760" s="76" t="s">
        <v>891</v>
      </c>
      <c r="E760" s="73">
        <f>(2.8*1.55)</f>
        <v>4.34</v>
      </c>
      <c r="F760" s="74">
        <v>733000</v>
      </c>
      <c r="G760" s="40">
        <f t="shared" si="13"/>
        <v>3181220</v>
      </c>
      <c r="H760" s="45" t="s">
        <v>941</v>
      </c>
    </row>
    <row r="761" spans="1:8" s="166" customFormat="1" ht="46.8" x14ac:dyDescent="0.25">
      <c r="A761" s="167"/>
      <c r="B761" s="169"/>
      <c r="C761" s="66" t="s">
        <v>942</v>
      </c>
      <c r="D761" s="76" t="s">
        <v>891</v>
      </c>
      <c r="E761" s="73">
        <f>(2.4+0.8)+(2.1*0.6)</f>
        <v>4.46</v>
      </c>
      <c r="F761" s="74">
        <v>1032000</v>
      </c>
      <c r="G761" s="40">
        <f t="shared" si="13"/>
        <v>4602720</v>
      </c>
      <c r="H761" s="45"/>
    </row>
    <row r="762" spans="1:8" s="166" customFormat="1" x14ac:dyDescent="0.25">
      <c r="A762" s="167"/>
      <c r="B762" s="169"/>
      <c r="C762" s="47" t="s">
        <v>20</v>
      </c>
      <c r="D762" s="76"/>
      <c r="E762" s="73"/>
      <c r="F762" s="74"/>
      <c r="G762" s="41">
        <f>SUM(G763:G768)</f>
        <v>1964000</v>
      </c>
      <c r="H762" s="45"/>
    </row>
    <row r="763" spans="1:8" s="166" customFormat="1" x14ac:dyDescent="0.25">
      <c r="A763" s="167"/>
      <c r="B763" s="169"/>
      <c r="C763" s="66" t="s">
        <v>943</v>
      </c>
      <c r="D763" s="76" t="s">
        <v>21</v>
      </c>
      <c r="E763" s="73">
        <v>1</v>
      </c>
      <c r="F763" s="74">
        <v>300000</v>
      </c>
      <c r="G763" s="40">
        <f t="shared" ref="G763:G768" si="14">E763*F763</f>
        <v>300000</v>
      </c>
      <c r="H763" s="45"/>
    </row>
    <row r="764" spans="1:8" s="166" customFormat="1" x14ac:dyDescent="0.25">
      <c r="A764" s="167"/>
      <c r="B764" s="169"/>
      <c r="C764" s="66" t="s">
        <v>944</v>
      </c>
      <c r="D764" s="76" t="s">
        <v>891</v>
      </c>
      <c r="E764" s="73">
        <v>4</v>
      </c>
      <c r="F764" s="74">
        <v>26000</v>
      </c>
      <c r="G764" s="40">
        <f t="shared" si="14"/>
        <v>104000</v>
      </c>
      <c r="H764" s="45"/>
    </row>
    <row r="765" spans="1:8" s="166" customFormat="1" x14ac:dyDescent="0.25">
      <c r="A765" s="167"/>
      <c r="B765" s="169"/>
      <c r="C765" s="66" t="s">
        <v>945</v>
      </c>
      <c r="D765" s="76" t="s">
        <v>21</v>
      </c>
      <c r="E765" s="73">
        <v>1</v>
      </c>
      <c r="F765" s="74">
        <v>200000</v>
      </c>
      <c r="G765" s="40">
        <f t="shared" si="14"/>
        <v>200000</v>
      </c>
      <c r="H765" s="45"/>
    </row>
    <row r="766" spans="1:8" s="166" customFormat="1" x14ac:dyDescent="0.25">
      <c r="A766" s="167"/>
      <c r="B766" s="169"/>
      <c r="C766" s="66" t="s">
        <v>946</v>
      </c>
      <c r="D766" s="76" t="s">
        <v>21</v>
      </c>
      <c r="E766" s="73">
        <v>1</v>
      </c>
      <c r="F766" s="74">
        <v>800000</v>
      </c>
      <c r="G766" s="40">
        <f t="shared" si="14"/>
        <v>800000</v>
      </c>
      <c r="H766" s="45"/>
    </row>
    <row r="767" spans="1:8" s="166" customFormat="1" x14ac:dyDescent="0.25">
      <c r="A767" s="167"/>
      <c r="B767" s="169"/>
      <c r="C767" s="66" t="s">
        <v>947</v>
      </c>
      <c r="D767" s="76" t="s">
        <v>21</v>
      </c>
      <c r="E767" s="73">
        <v>4</v>
      </c>
      <c r="F767" s="74">
        <v>100000</v>
      </c>
      <c r="G767" s="40">
        <f t="shared" si="14"/>
        <v>400000</v>
      </c>
      <c r="H767" s="45"/>
    </row>
    <row r="768" spans="1:8" s="166" customFormat="1" x14ac:dyDescent="0.25">
      <c r="A768" s="167"/>
      <c r="B768" s="169"/>
      <c r="C768" s="66" t="s">
        <v>948</v>
      </c>
      <c r="D768" s="76" t="s">
        <v>21</v>
      </c>
      <c r="E768" s="73">
        <v>1</v>
      </c>
      <c r="F768" s="74">
        <v>160000</v>
      </c>
      <c r="G768" s="40">
        <f t="shared" si="14"/>
        <v>160000</v>
      </c>
      <c r="H768" s="45"/>
    </row>
    <row r="769" spans="1:771 1026:1795 2050:2819 3074:3843 4098:4867 5122:5891 6146:6915 7170:7939 8194:8963 9218:9987 10242:11011 11266:12035 12290:13059 13314:14083 14338:15107 15362:16131" s="35" customFormat="1" x14ac:dyDescent="0.3">
      <c r="A769" s="36"/>
      <c r="B769" s="72"/>
      <c r="C769" s="51" t="s">
        <v>23</v>
      </c>
      <c r="D769" s="39"/>
      <c r="E769" s="1"/>
      <c r="F769" s="2"/>
      <c r="G769" s="41">
        <f>SUM(G770)</f>
        <v>6120000</v>
      </c>
      <c r="H769" s="42"/>
    </row>
    <row r="770" spans="1:771 1026:1795 2050:2819 3074:3843 4098:4867 5122:5891 6146:6915 7170:7939 8194:8963 9218:9987 10242:11011 11266:12035 12290:13059 13314:14083 14338:15107 15362:16131" s="35" customFormat="1" x14ac:dyDescent="0.3">
      <c r="A770" s="36"/>
      <c r="B770" s="46"/>
      <c r="C770" s="50" t="s">
        <v>24</v>
      </c>
      <c r="D770" s="39" t="s">
        <v>25</v>
      </c>
      <c r="E770" s="1">
        <f>2*30*6</f>
        <v>360</v>
      </c>
      <c r="F770" s="2">
        <v>17000</v>
      </c>
      <c r="G770" s="40">
        <f>E770*F770</f>
        <v>6120000</v>
      </c>
      <c r="H770" s="52"/>
    </row>
    <row r="771" spans="1:771 1026:1795 2050:2819 3074:3843 4098:4867 5122:5891 6146:6915 7170:7939 8194:8963 9218:9987 10242:11011 11266:12035 12290:13059 13314:14083 14338:15107 15362:16131" s="35" customFormat="1" ht="65.400000000000006" thickBot="1" x14ac:dyDescent="0.35">
      <c r="A771" s="53"/>
      <c r="B771" s="54"/>
      <c r="C771" s="55" t="s">
        <v>2331</v>
      </c>
      <c r="D771" s="56"/>
      <c r="E771" s="5"/>
      <c r="F771" s="6"/>
      <c r="G771" s="57"/>
      <c r="H771" s="58"/>
    </row>
    <row r="772" spans="1:771 1026:1795 2050:2819 3074:3843 4098:4867 5122:5891 6146:6915 7170:7939 8194:8963 9218:9987 10242:11011 11266:12035 12290:13059 13314:14083 14338:15107 15362:16131" s="59" customFormat="1" ht="31.8" thickBot="1" x14ac:dyDescent="0.35">
      <c r="A772" s="154"/>
      <c r="B772" s="155" t="s">
        <v>26</v>
      </c>
      <c r="C772" s="156"/>
      <c r="D772" s="154"/>
      <c r="E772" s="157"/>
      <c r="F772" s="158"/>
      <c r="G772" s="159">
        <f>SUM(G742:G771)/2</f>
        <v>693438336</v>
      </c>
      <c r="H772" s="160"/>
      <c r="IX772" s="35"/>
      <c r="IY772" s="35"/>
      <c r="ST772" s="35"/>
      <c r="SU772" s="35"/>
      <c r="ACP772" s="35"/>
      <c r="ACQ772" s="35"/>
      <c r="AML772" s="35"/>
      <c r="AMM772" s="35"/>
      <c r="AWH772" s="35"/>
      <c r="AWI772" s="35"/>
      <c r="BGD772" s="35"/>
      <c r="BGE772" s="35"/>
      <c r="BPZ772" s="35"/>
      <c r="BQA772" s="35"/>
      <c r="BZV772" s="35"/>
      <c r="BZW772" s="35"/>
      <c r="CJR772" s="35"/>
      <c r="CJS772" s="35"/>
      <c r="CTN772" s="35"/>
      <c r="CTO772" s="35"/>
      <c r="DDJ772" s="35"/>
      <c r="DDK772" s="35"/>
      <c r="DNF772" s="35"/>
      <c r="DNG772" s="35"/>
      <c r="DXB772" s="35"/>
      <c r="DXC772" s="35"/>
      <c r="EGX772" s="35"/>
      <c r="EGY772" s="35"/>
      <c r="EQT772" s="35"/>
      <c r="EQU772" s="35"/>
      <c r="FAP772" s="35"/>
      <c r="FAQ772" s="35"/>
      <c r="FKL772" s="35"/>
      <c r="FKM772" s="35"/>
      <c r="FUH772" s="35"/>
      <c r="FUI772" s="35"/>
      <c r="GED772" s="35"/>
      <c r="GEE772" s="35"/>
      <c r="GNZ772" s="35"/>
      <c r="GOA772" s="35"/>
      <c r="GXV772" s="35"/>
      <c r="GXW772" s="35"/>
      <c r="HHR772" s="35"/>
      <c r="HHS772" s="35"/>
      <c r="HRN772" s="35"/>
      <c r="HRO772" s="35"/>
      <c r="IBJ772" s="35"/>
      <c r="IBK772" s="35"/>
      <c r="ILF772" s="35"/>
      <c r="ILG772" s="35"/>
      <c r="IVB772" s="35"/>
      <c r="IVC772" s="35"/>
      <c r="JEX772" s="35"/>
      <c r="JEY772" s="35"/>
      <c r="JOT772" s="35"/>
      <c r="JOU772" s="35"/>
      <c r="JYP772" s="35"/>
      <c r="JYQ772" s="35"/>
      <c r="KIL772" s="35"/>
      <c r="KIM772" s="35"/>
      <c r="KSH772" s="35"/>
      <c r="KSI772" s="35"/>
      <c r="LCD772" s="35"/>
      <c r="LCE772" s="35"/>
      <c r="LLZ772" s="35"/>
      <c r="LMA772" s="35"/>
      <c r="LVV772" s="35"/>
      <c r="LVW772" s="35"/>
      <c r="MFR772" s="35"/>
      <c r="MFS772" s="35"/>
      <c r="MPN772" s="35"/>
      <c r="MPO772" s="35"/>
      <c r="MZJ772" s="35"/>
      <c r="MZK772" s="35"/>
      <c r="NJF772" s="35"/>
      <c r="NJG772" s="35"/>
      <c r="NTB772" s="35"/>
      <c r="NTC772" s="35"/>
      <c r="OCX772" s="35"/>
      <c r="OCY772" s="35"/>
      <c r="OMT772" s="35"/>
      <c r="OMU772" s="35"/>
      <c r="OWP772" s="35"/>
      <c r="OWQ772" s="35"/>
      <c r="PGL772" s="35"/>
      <c r="PGM772" s="35"/>
      <c r="PQH772" s="35"/>
      <c r="PQI772" s="35"/>
      <c r="QAD772" s="35"/>
      <c r="QAE772" s="35"/>
      <c r="QJZ772" s="35"/>
      <c r="QKA772" s="35"/>
      <c r="QTV772" s="35"/>
      <c r="QTW772" s="35"/>
      <c r="RDR772" s="35"/>
      <c r="RDS772" s="35"/>
      <c r="RNN772" s="35"/>
      <c r="RNO772" s="35"/>
      <c r="RXJ772" s="35"/>
      <c r="RXK772" s="35"/>
      <c r="SHF772" s="35"/>
      <c r="SHG772" s="35"/>
      <c r="SRB772" s="35"/>
      <c r="SRC772" s="35"/>
      <c r="TAX772" s="35"/>
      <c r="TAY772" s="35"/>
      <c r="TKT772" s="35"/>
      <c r="TKU772" s="35"/>
      <c r="TUP772" s="35"/>
      <c r="TUQ772" s="35"/>
      <c r="UEL772" s="35"/>
      <c r="UEM772" s="35"/>
      <c r="UOH772" s="35"/>
      <c r="UOI772" s="35"/>
      <c r="UYD772" s="35"/>
      <c r="UYE772" s="35"/>
      <c r="VHZ772" s="35"/>
      <c r="VIA772" s="35"/>
      <c r="VRV772" s="35"/>
      <c r="VRW772" s="35"/>
      <c r="WBR772" s="35"/>
      <c r="WBS772" s="35"/>
      <c r="WLN772" s="35"/>
      <c r="WLO772" s="35"/>
      <c r="WVJ772" s="35"/>
      <c r="WVK772" s="35"/>
    </row>
    <row r="773" spans="1:771 1026:1795 2050:2819 3074:3843 4098:4867 5122:5891 6146:6915 7170:7939 8194:8963 9218:9987 10242:11011 11266:12035 12290:13059 13314:14083 14338:15107 15362:16131" s="35" customFormat="1" ht="69" x14ac:dyDescent="0.3">
      <c r="A773" s="28">
        <v>66</v>
      </c>
      <c r="B773" s="29" t="s">
        <v>607</v>
      </c>
      <c r="C773" s="30" t="s">
        <v>611</v>
      </c>
      <c r="D773" s="31" t="s">
        <v>13</v>
      </c>
      <c r="E773" s="32">
        <v>8.1999999999999993</v>
      </c>
      <c r="F773" s="33"/>
      <c r="G773" s="33"/>
      <c r="H773" s="34" t="s">
        <v>612</v>
      </c>
    </row>
    <row r="774" spans="1:771 1026:1795 2050:2819 3074:3843 4098:4867 5122:5891 6146:6915 7170:7939 8194:8963 9218:9987 10242:11011 11266:12035 12290:13059 13314:14083 14338:15107 15362:16131" s="35" customFormat="1" x14ac:dyDescent="0.3">
      <c r="A774" s="36"/>
      <c r="B774" s="72" t="s">
        <v>608</v>
      </c>
      <c r="C774" s="38" t="s">
        <v>14</v>
      </c>
      <c r="D774" s="39"/>
      <c r="E774" s="44"/>
      <c r="F774" s="40"/>
      <c r="G774" s="41">
        <f>SUM(G775)</f>
        <v>159727800</v>
      </c>
      <c r="H774" s="42"/>
    </row>
    <row r="775" spans="1:771 1026:1795 2050:2819 3074:3843 4098:4867 5122:5891 6146:6915 7170:7939 8194:8963 9218:9987 10242:11011 11266:12035 12290:13059 13314:14083 14338:15107 15362:16131" s="35" customFormat="1" ht="62.4" x14ac:dyDescent="0.3">
      <c r="A775" s="36"/>
      <c r="B775" s="72" t="s">
        <v>609</v>
      </c>
      <c r="C775" s="48" t="s">
        <v>38</v>
      </c>
      <c r="D775" s="39" t="s">
        <v>13</v>
      </c>
      <c r="E775" s="44">
        <v>8.1999999999999993</v>
      </c>
      <c r="F775" s="161">
        <v>19479000</v>
      </c>
      <c r="G775" s="40">
        <f>E775*F775</f>
        <v>159727800</v>
      </c>
      <c r="H775" s="42"/>
    </row>
    <row r="776" spans="1:771 1026:1795 2050:2819 3074:3843 4098:4867 5122:5891 6146:6915 7170:7939 8194:8963 9218:9987 10242:11011 11266:12035 12290:13059 13314:14083 14338:15107 15362:16131" s="35" customFormat="1" x14ac:dyDescent="0.3">
      <c r="A776" s="36"/>
      <c r="B776" s="72" t="s">
        <v>610</v>
      </c>
      <c r="C776" s="47" t="s">
        <v>35</v>
      </c>
      <c r="D776" s="39"/>
      <c r="E776" s="73"/>
      <c r="F776" s="40"/>
      <c r="G776" s="41">
        <f>SUM(G777:G779)</f>
        <v>86234880</v>
      </c>
      <c r="H776" s="45"/>
    </row>
    <row r="777" spans="1:771 1026:1795 2050:2819 3074:3843 4098:4867 5122:5891 6146:6915 7170:7939 8194:8963 9218:9987 10242:11011 11266:12035 12290:13059 13314:14083 14338:15107 15362:16131" s="35" customFormat="1" ht="93.6" x14ac:dyDescent="0.3">
      <c r="A777" s="36"/>
      <c r="B777" s="50"/>
      <c r="C777" s="66" t="s">
        <v>613</v>
      </c>
      <c r="D777" s="39" t="s">
        <v>234</v>
      </c>
      <c r="E777" s="73">
        <v>16.32</v>
      </c>
      <c r="F777" s="74">
        <v>5284000</v>
      </c>
      <c r="G777" s="40">
        <f>E777*F777</f>
        <v>86234880</v>
      </c>
      <c r="H777" s="45" t="s">
        <v>2426</v>
      </c>
    </row>
    <row r="778" spans="1:771 1026:1795 2050:2819 3074:3843 4098:4867 5122:5891 6146:6915 7170:7939 8194:8963 9218:9987 10242:11011 11266:12035 12290:13059 13314:14083 14338:15107 15362:16131" s="35" customFormat="1" x14ac:dyDescent="0.3">
      <c r="A778" s="36"/>
      <c r="B778" s="50"/>
      <c r="C778" s="66" t="s">
        <v>614</v>
      </c>
      <c r="D778" s="39" t="s">
        <v>234</v>
      </c>
      <c r="E778" s="73">
        <f>4*2.7</f>
        <v>10.8</v>
      </c>
      <c r="F778" s="74"/>
      <c r="G778" s="40">
        <f>E778*F778</f>
        <v>0</v>
      </c>
      <c r="H778" s="45"/>
    </row>
    <row r="779" spans="1:771 1026:1795 2050:2819 3074:3843 4098:4867 5122:5891 6146:6915 7170:7939 8194:8963 9218:9987 10242:11011 11266:12035 12290:13059 13314:14083 14338:15107 15362:16131" s="35" customFormat="1" x14ac:dyDescent="0.3">
      <c r="A779" s="36"/>
      <c r="B779" s="50"/>
      <c r="C779" s="66" t="s">
        <v>105</v>
      </c>
      <c r="D779" s="39" t="s">
        <v>106</v>
      </c>
      <c r="E779" s="73">
        <v>1</v>
      </c>
      <c r="F779" s="74"/>
      <c r="G779" s="40">
        <f>E779*F779</f>
        <v>0</v>
      </c>
      <c r="H779" s="52" t="s">
        <v>2353</v>
      </c>
    </row>
    <row r="780" spans="1:771 1026:1795 2050:2819 3074:3843 4098:4867 5122:5891 6146:6915 7170:7939 8194:8963 9218:9987 10242:11011 11266:12035 12290:13059 13314:14083 14338:15107 15362:16131" s="35" customFormat="1" ht="65.400000000000006" thickBot="1" x14ac:dyDescent="0.35">
      <c r="A780" s="53"/>
      <c r="B780" s="54"/>
      <c r="C780" s="55" t="s">
        <v>2331</v>
      </c>
      <c r="D780" s="56"/>
      <c r="E780" s="5"/>
      <c r="F780" s="6"/>
      <c r="G780" s="57"/>
      <c r="H780" s="58"/>
    </row>
    <row r="781" spans="1:771 1026:1795 2050:2819 3074:3843 4098:4867 5122:5891 6146:6915 7170:7939 8194:8963 9218:9987 10242:11011 11266:12035 12290:13059 13314:14083 14338:15107 15362:16131" s="59" customFormat="1" ht="31.8" thickBot="1" x14ac:dyDescent="0.35">
      <c r="A781" s="154"/>
      <c r="B781" s="155" t="s">
        <v>26</v>
      </c>
      <c r="C781" s="156"/>
      <c r="D781" s="154"/>
      <c r="E781" s="157"/>
      <c r="F781" s="158"/>
      <c r="G781" s="159">
        <f>SUM(G773:G780)/2</f>
        <v>245962680</v>
      </c>
      <c r="H781" s="160"/>
      <c r="IX781" s="35"/>
      <c r="IY781" s="35"/>
      <c r="ST781" s="35"/>
      <c r="SU781" s="35"/>
      <c r="ACP781" s="35"/>
      <c r="ACQ781" s="35"/>
      <c r="AML781" s="35"/>
      <c r="AMM781" s="35"/>
      <c r="AWH781" s="35"/>
      <c r="AWI781" s="35"/>
      <c r="BGD781" s="35"/>
      <c r="BGE781" s="35"/>
      <c r="BPZ781" s="35"/>
      <c r="BQA781" s="35"/>
      <c r="BZV781" s="35"/>
      <c r="BZW781" s="35"/>
      <c r="CJR781" s="35"/>
      <c r="CJS781" s="35"/>
      <c r="CTN781" s="35"/>
      <c r="CTO781" s="35"/>
      <c r="DDJ781" s="35"/>
      <c r="DDK781" s="35"/>
      <c r="DNF781" s="35"/>
      <c r="DNG781" s="35"/>
      <c r="DXB781" s="35"/>
      <c r="DXC781" s="35"/>
      <c r="EGX781" s="35"/>
      <c r="EGY781" s="35"/>
      <c r="EQT781" s="35"/>
      <c r="EQU781" s="35"/>
      <c r="FAP781" s="35"/>
      <c r="FAQ781" s="35"/>
      <c r="FKL781" s="35"/>
      <c r="FKM781" s="35"/>
      <c r="FUH781" s="35"/>
      <c r="FUI781" s="35"/>
      <c r="GED781" s="35"/>
      <c r="GEE781" s="35"/>
      <c r="GNZ781" s="35"/>
      <c r="GOA781" s="35"/>
      <c r="GXV781" s="35"/>
      <c r="GXW781" s="35"/>
      <c r="HHR781" s="35"/>
      <c r="HHS781" s="35"/>
      <c r="HRN781" s="35"/>
      <c r="HRO781" s="35"/>
      <c r="IBJ781" s="35"/>
      <c r="IBK781" s="35"/>
      <c r="ILF781" s="35"/>
      <c r="ILG781" s="35"/>
      <c r="IVB781" s="35"/>
      <c r="IVC781" s="35"/>
      <c r="JEX781" s="35"/>
      <c r="JEY781" s="35"/>
      <c r="JOT781" s="35"/>
      <c r="JOU781" s="35"/>
      <c r="JYP781" s="35"/>
      <c r="JYQ781" s="35"/>
      <c r="KIL781" s="35"/>
      <c r="KIM781" s="35"/>
      <c r="KSH781" s="35"/>
      <c r="KSI781" s="35"/>
      <c r="LCD781" s="35"/>
      <c r="LCE781" s="35"/>
      <c r="LLZ781" s="35"/>
      <c r="LMA781" s="35"/>
      <c r="LVV781" s="35"/>
      <c r="LVW781" s="35"/>
      <c r="MFR781" s="35"/>
      <c r="MFS781" s="35"/>
      <c r="MPN781" s="35"/>
      <c r="MPO781" s="35"/>
      <c r="MZJ781" s="35"/>
      <c r="MZK781" s="35"/>
      <c r="NJF781" s="35"/>
      <c r="NJG781" s="35"/>
      <c r="NTB781" s="35"/>
      <c r="NTC781" s="35"/>
      <c r="OCX781" s="35"/>
      <c r="OCY781" s="35"/>
      <c r="OMT781" s="35"/>
      <c r="OMU781" s="35"/>
      <c r="OWP781" s="35"/>
      <c r="OWQ781" s="35"/>
      <c r="PGL781" s="35"/>
      <c r="PGM781" s="35"/>
      <c r="PQH781" s="35"/>
      <c r="PQI781" s="35"/>
      <c r="QAD781" s="35"/>
      <c r="QAE781" s="35"/>
      <c r="QJZ781" s="35"/>
      <c r="QKA781" s="35"/>
      <c r="QTV781" s="35"/>
      <c r="QTW781" s="35"/>
      <c r="RDR781" s="35"/>
      <c r="RDS781" s="35"/>
      <c r="RNN781" s="35"/>
      <c r="RNO781" s="35"/>
      <c r="RXJ781" s="35"/>
      <c r="RXK781" s="35"/>
      <c r="SHF781" s="35"/>
      <c r="SHG781" s="35"/>
      <c r="SRB781" s="35"/>
      <c r="SRC781" s="35"/>
      <c r="TAX781" s="35"/>
      <c r="TAY781" s="35"/>
      <c r="TKT781" s="35"/>
      <c r="TKU781" s="35"/>
      <c r="TUP781" s="35"/>
      <c r="TUQ781" s="35"/>
      <c r="UEL781" s="35"/>
      <c r="UEM781" s="35"/>
      <c r="UOH781" s="35"/>
      <c r="UOI781" s="35"/>
      <c r="UYD781" s="35"/>
      <c r="UYE781" s="35"/>
      <c r="VHZ781" s="35"/>
      <c r="VIA781" s="35"/>
      <c r="VRV781" s="35"/>
      <c r="VRW781" s="35"/>
      <c r="WBR781" s="35"/>
      <c r="WBS781" s="35"/>
      <c r="WLN781" s="35"/>
      <c r="WLO781" s="35"/>
      <c r="WVJ781" s="35"/>
      <c r="WVK781" s="35"/>
    </row>
    <row r="782" spans="1:771 1026:1795 2050:2819 3074:3843 4098:4867 5122:5891 6146:6915 7170:7939 8194:8963 9218:9987 10242:11011 11266:12035 12290:13059 13314:14083 14338:15107 15362:16131" s="35" customFormat="1" ht="69" x14ac:dyDescent="0.3">
      <c r="A782" s="28">
        <v>67</v>
      </c>
      <c r="B782" s="29" t="s">
        <v>1400</v>
      </c>
      <c r="C782" s="30" t="s">
        <v>619</v>
      </c>
      <c r="D782" s="31" t="s">
        <v>13</v>
      </c>
      <c r="E782" s="32">
        <v>11.6</v>
      </c>
      <c r="F782" s="33"/>
      <c r="G782" s="33"/>
      <c r="H782" s="34" t="s">
        <v>618</v>
      </c>
    </row>
    <row r="783" spans="1:771 1026:1795 2050:2819 3074:3843 4098:4867 5122:5891 6146:6915 7170:7939 8194:8963 9218:9987 10242:11011 11266:12035 12290:13059 13314:14083 14338:15107 15362:16131" s="35" customFormat="1" x14ac:dyDescent="0.3">
      <c r="A783" s="36"/>
      <c r="B783" s="72" t="s">
        <v>615</v>
      </c>
      <c r="C783" s="38" t="s">
        <v>14</v>
      </c>
      <c r="D783" s="39"/>
      <c r="E783" s="44"/>
      <c r="F783" s="40"/>
      <c r="G783" s="41">
        <f>SUM(G784)</f>
        <v>225956400</v>
      </c>
      <c r="H783" s="42"/>
    </row>
    <row r="784" spans="1:771 1026:1795 2050:2819 3074:3843 4098:4867 5122:5891 6146:6915 7170:7939 8194:8963 9218:9987 10242:11011 11266:12035 12290:13059 13314:14083 14338:15107 15362:16131" s="35" customFormat="1" ht="62.4" x14ac:dyDescent="0.3">
      <c r="A784" s="36"/>
      <c r="B784" s="72" t="s">
        <v>616</v>
      </c>
      <c r="C784" s="48" t="s">
        <v>38</v>
      </c>
      <c r="D784" s="39" t="s">
        <v>13</v>
      </c>
      <c r="E784" s="44">
        <v>11.6</v>
      </c>
      <c r="F784" s="161">
        <v>19479000</v>
      </c>
      <c r="G784" s="40">
        <f>E784*F784</f>
        <v>225956400</v>
      </c>
      <c r="H784" s="42"/>
    </row>
    <row r="785" spans="1:771 1026:1795 2050:2819 3074:3843 4098:4867 5122:5891 6146:6915 7170:7939 8194:8963 9218:9987 10242:11011 11266:12035 12290:13059 13314:14083 14338:15107 15362:16131" s="35" customFormat="1" x14ac:dyDescent="0.3">
      <c r="A785" s="36"/>
      <c r="B785" s="72" t="s">
        <v>617</v>
      </c>
      <c r="C785" s="47" t="s">
        <v>35</v>
      </c>
      <c r="D785" s="39"/>
      <c r="E785" s="73"/>
      <c r="F785" s="40"/>
      <c r="G785" s="41">
        <f>SUM(G786:G787)</f>
        <v>43801450</v>
      </c>
      <c r="H785" s="45"/>
    </row>
    <row r="786" spans="1:771 1026:1795 2050:2819 3074:3843 4098:4867 5122:5891 6146:6915 7170:7939 8194:8963 9218:9987 10242:11011 11266:12035 12290:13059 13314:14083 14338:15107 15362:16131" s="35" customFormat="1" ht="93.6" x14ac:dyDescent="0.3">
      <c r="A786" s="36"/>
      <c r="B786" s="50"/>
      <c r="C786" s="66" t="s">
        <v>620</v>
      </c>
      <c r="D786" s="39" t="s">
        <v>234</v>
      </c>
      <c r="E786" s="73">
        <f>2*6.05</f>
        <v>12.1</v>
      </c>
      <c r="F786" s="74">
        <v>3592000</v>
      </c>
      <c r="G786" s="40">
        <f>E786*F786</f>
        <v>43463200</v>
      </c>
      <c r="H786" s="45" t="s">
        <v>2426</v>
      </c>
    </row>
    <row r="787" spans="1:771 1026:1795 2050:2819 3074:3843 4098:4867 5122:5891 6146:6915 7170:7939 8194:8963 9218:9987 10242:11011 11266:12035 12290:13059 13314:14083 14338:15107 15362:16131" s="35" customFormat="1" x14ac:dyDescent="0.3">
      <c r="A787" s="36"/>
      <c r="B787" s="50"/>
      <c r="C787" s="66" t="s">
        <v>18</v>
      </c>
      <c r="D787" s="39" t="s">
        <v>234</v>
      </c>
      <c r="E787" s="73">
        <f>3.3*2.5</f>
        <v>8.25</v>
      </c>
      <c r="F787" s="40">
        <v>41000</v>
      </c>
      <c r="G787" s="40">
        <f>E787*F787</f>
        <v>338250</v>
      </c>
      <c r="H787" s="45"/>
    </row>
    <row r="788" spans="1:771 1026:1795 2050:2819 3074:3843 4098:4867 5122:5891 6146:6915 7170:7939 8194:8963 9218:9987 10242:11011 11266:12035 12290:13059 13314:14083 14338:15107 15362:16131" s="35" customFormat="1" ht="65.400000000000006" thickBot="1" x14ac:dyDescent="0.35">
      <c r="A788" s="53"/>
      <c r="B788" s="54"/>
      <c r="C788" s="55" t="s">
        <v>2331</v>
      </c>
      <c r="D788" s="56"/>
      <c r="E788" s="5"/>
      <c r="F788" s="6"/>
      <c r="G788" s="57"/>
      <c r="H788" s="58"/>
    </row>
    <row r="789" spans="1:771 1026:1795 2050:2819 3074:3843 4098:4867 5122:5891 6146:6915 7170:7939 8194:8963 9218:9987 10242:11011 11266:12035 12290:13059 13314:14083 14338:15107 15362:16131" s="59" customFormat="1" ht="31.8" thickBot="1" x14ac:dyDescent="0.35">
      <c r="A789" s="154"/>
      <c r="B789" s="155" t="s">
        <v>26</v>
      </c>
      <c r="C789" s="156"/>
      <c r="D789" s="154"/>
      <c r="E789" s="157"/>
      <c r="F789" s="158"/>
      <c r="G789" s="159">
        <f>SUM(G782:G788)/2</f>
        <v>269757850</v>
      </c>
      <c r="H789" s="160"/>
      <c r="IX789" s="35"/>
      <c r="IY789" s="35"/>
      <c r="ST789" s="35"/>
      <c r="SU789" s="35"/>
      <c r="ACP789" s="35"/>
      <c r="ACQ789" s="35"/>
      <c r="AML789" s="35"/>
      <c r="AMM789" s="35"/>
      <c r="AWH789" s="35"/>
      <c r="AWI789" s="35"/>
      <c r="BGD789" s="35"/>
      <c r="BGE789" s="35"/>
      <c r="BPZ789" s="35"/>
      <c r="BQA789" s="35"/>
      <c r="BZV789" s="35"/>
      <c r="BZW789" s="35"/>
      <c r="CJR789" s="35"/>
      <c r="CJS789" s="35"/>
      <c r="CTN789" s="35"/>
      <c r="CTO789" s="35"/>
      <c r="DDJ789" s="35"/>
      <c r="DDK789" s="35"/>
      <c r="DNF789" s="35"/>
      <c r="DNG789" s="35"/>
      <c r="DXB789" s="35"/>
      <c r="DXC789" s="35"/>
      <c r="EGX789" s="35"/>
      <c r="EGY789" s="35"/>
      <c r="EQT789" s="35"/>
      <c r="EQU789" s="35"/>
      <c r="FAP789" s="35"/>
      <c r="FAQ789" s="35"/>
      <c r="FKL789" s="35"/>
      <c r="FKM789" s="35"/>
      <c r="FUH789" s="35"/>
      <c r="FUI789" s="35"/>
      <c r="GED789" s="35"/>
      <c r="GEE789" s="35"/>
      <c r="GNZ789" s="35"/>
      <c r="GOA789" s="35"/>
      <c r="GXV789" s="35"/>
      <c r="GXW789" s="35"/>
      <c r="HHR789" s="35"/>
      <c r="HHS789" s="35"/>
      <c r="HRN789" s="35"/>
      <c r="HRO789" s="35"/>
      <c r="IBJ789" s="35"/>
      <c r="IBK789" s="35"/>
      <c r="ILF789" s="35"/>
      <c r="ILG789" s="35"/>
      <c r="IVB789" s="35"/>
      <c r="IVC789" s="35"/>
      <c r="JEX789" s="35"/>
      <c r="JEY789" s="35"/>
      <c r="JOT789" s="35"/>
      <c r="JOU789" s="35"/>
      <c r="JYP789" s="35"/>
      <c r="JYQ789" s="35"/>
      <c r="KIL789" s="35"/>
      <c r="KIM789" s="35"/>
      <c r="KSH789" s="35"/>
      <c r="KSI789" s="35"/>
      <c r="LCD789" s="35"/>
      <c r="LCE789" s="35"/>
      <c r="LLZ789" s="35"/>
      <c r="LMA789" s="35"/>
      <c r="LVV789" s="35"/>
      <c r="LVW789" s="35"/>
      <c r="MFR789" s="35"/>
      <c r="MFS789" s="35"/>
      <c r="MPN789" s="35"/>
      <c r="MPO789" s="35"/>
      <c r="MZJ789" s="35"/>
      <c r="MZK789" s="35"/>
      <c r="NJF789" s="35"/>
      <c r="NJG789" s="35"/>
      <c r="NTB789" s="35"/>
      <c r="NTC789" s="35"/>
      <c r="OCX789" s="35"/>
      <c r="OCY789" s="35"/>
      <c r="OMT789" s="35"/>
      <c r="OMU789" s="35"/>
      <c r="OWP789" s="35"/>
      <c r="OWQ789" s="35"/>
      <c r="PGL789" s="35"/>
      <c r="PGM789" s="35"/>
      <c r="PQH789" s="35"/>
      <c r="PQI789" s="35"/>
      <c r="QAD789" s="35"/>
      <c r="QAE789" s="35"/>
      <c r="QJZ789" s="35"/>
      <c r="QKA789" s="35"/>
      <c r="QTV789" s="35"/>
      <c r="QTW789" s="35"/>
      <c r="RDR789" s="35"/>
      <c r="RDS789" s="35"/>
      <c r="RNN789" s="35"/>
      <c r="RNO789" s="35"/>
      <c r="RXJ789" s="35"/>
      <c r="RXK789" s="35"/>
      <c r="SHF789" s="35"/>
      <c r="SHG789" s="35"/>
      <c r="SRB789" s="35"/>
      <c r="SRC789" s="35"/>
      <c r="TAX789" s="35"/>
      <c r="TAY789" s="35"/>
      <c r="TKT789" s="35"/>
      <c r="TKU789" s="35"/>
      <c r="TUP789" s="35"/>
      <c r="TUQ789" s="35"/>
      <c r="UEL789" s="35"/>
      <c r="UEM789" s="35"/>
      <c r="UOH789" s="35"/>
      <c r="UOI789" s="35"/>
      <c r="UYD789" s="35"/>
      <c r="UYE789" s="35"/>
      <c r="VHZ789" s="35"/>
      <c r="VIA789" s="35"/>
      <c r="VRV789" s="35"/>
      <c r="VRW789" s="35"/>
      <c r="WBR789" s="35"/>
      <c r="WBS789" s="35"/>
      <c r="WLN789" s="35"/>
      <c r="WLO789" s="35"/>
      <c r="WVJ789" s="35"/>
      <c r="WVK789" s="35"/>
    </row>
    <row r="790" spans="1:771 1026:1795 2050:2819 3074:3843 4098:4867 5122:5891 6146:6915 7170:7939 8194:8963 9218:9987 10242:11011 11266:12035 12290:13059 13314:14083 14338:15107 15362:16131" s="35" customFormat="1" ht="55.2" x14ac:dyDescent="0.3">
      <c r="A790" s="28">
        <v>68</v>
      </c>
      <c r="B790" s="29" t="s">
        <v>621</v>
      </c>
      <c r="C790" s="30" t="s">
        <v>625</v>
      </c>
      <c r="D790" s="31" t="s">
        <v>13</v>
      </c>
      <c r="E790" s="32">
        <f>25.4+21.1</f>
        <v>46.5</v>
      </c>
      <c r="F790" s="33"/>
      <c r="G790" s="33"/>
      <c r="H790" s="34" t="s">
        <v>626</v>
      </c>
    </row>
    <row r="791" spans="1:771 1026:1795 2050:2819 3074:3843 4098:4867 5122:5891 6146:6915 7170:7939 8194:8963 9218:9987 10242:11011 11266:12035 12290:13059 13314:14083 14338:15107 15362:16131" s="35" customFormat="1" x14ac:dyDescent="0.3">
      <c r="A791" s="36"/>
      <c r="B791" s="72" t="s">
        <v>622</v>
      </c>
      <c r="C791" s="38" t="s">
        <v>14</v>
      </c>
      <c r="D791" s="39"/>
      <c r="E791" s="44"/>
      <c r="F791" s="40"/>
      <c r="G791" s="41">
        <f>SUM(G792)</f>
        <v>483786000</v>
      </c>
      <c r="H791" s="42"/>
    </row>
    <row r="792" spans="1:771 1026:1795 2050:2819 3074:3843 4098:4867 5122:5891 6146:6915 7170:7939 8194:8963 9218:9987 10242:11011 11266:12035 12290:13059 13314:14083 14338:15107 15362:16131" s="35" customFormat="1" ht="62.4" x14ac:dyDescent="0.3">
      <c r="A792" s="36"/>
      <c r="B792" s="72" t="s">
        <v>623</v>
      </c>
      <c r="C792" s="43" t="s">
        <v>55</v>
      </c>
      <c r="D792" s="39" t="s">
        <v>13</v>
      </c>
      <c r="E792" s="44">
        <f>25.4+21.1</f>
        <v>46.5</v>
      </c>
      <c r="F792" s="179">
        <v>10404000</v>
      </c>
      <c r="G792" s="40">
        <f>E792*F792</f>
        <v>483786000</v>
      </c>
      <c r="H792" s="42"/>
    </row>
    <row r="793" spans="1:771 1026:1795 2050:2819 3074:3843 4098:4867 5122:5891 6146:6915 7170:7939 8194:8963 9218:9987 10242:11011 11266:12035 12290:13059 13314:14083 14338:15107 15362:16131" s="35" customFormat="1" x14ac:dyDescent="0.3">
      <c r="A793" s="36"/>
      <c r="B793" s="72" t="s">
        <v>624</v>
      </c>
      <c r="C793" s="47" t="s">
        <v>35</v>
      </c>
      <c r="D793" s="39"/>
      <c r="E793" s="73"/>
      <c r="F793" s="40"/>
      <c r="G793" s="41">
        <f>SUM(G794:G797)</f>
        <v>16714700</v>
      </c>
      <c r="H793" s="45"/>
    </row>
    <row r="794" spans="1:771 1026:1795 2050:2819 3074:3843 4098:4867 5122:5891 6146:6915 7170:7939 8194:8963 9218:9987 10242:11011 11266:12035 12290:13059 13314:14083 14338:15107 15362:16131" s="35" customFormat="1" x14ac:dyDescent="0.3">
      <c r="A794" s="36"/>
      <c r="B794" s="50"/>
      <c r="C794" s="66" t="s">
        <v>232</v>
      </c>
      <c r="D794" s="39" t="s">
        <v>231</v>
      </c>
      <c r="E794" s="73">
        <v>1.5</v>
      </c>
      <c r="F794" s="40">
        <v>1946000</v>
      </c>
      <c r="G794" s="40">
        <f>E794*F794</f>
        <v>2919000</v>
      </c>
      <c r="H794" s="45"/>
    </row>
    <row r="795" spans="1:771 1026:1795 2050:2819 3074:3843 4098:4867 5122:5891 6146:6915 7170:7939 8194:8963 9218:9987 10242:11011 11266:12035 12290:13059 13314:14083 14338:15107 15362:16131" s="35" customFormat="1" x14ac:dyDescent="0.3">
      <c r="A795" s="36"/>
      <c r="B795" s="50"/>
      <c r="C795" s="66" t="s">
        <v>188</v>
      </c>
      <c r="D795" s="39" t="s">
        <v>234</v>
      </c>
      <c r="E795" s="73">
        <v>22</v>
      </c>
      <c r="F795" s="74">
        <v>107000</v>
      </c>
      <c r="G795" s="40">
        <f>E795*F795</f>
        <v>2354000</v>
      </c>
      <c r="H795" s="45"/>
    </row>
    <row r="796" spans="1:771 1026:1795 2050:2819 3074:3843 4098:4867 5122:5891 6146:6915 7170:7939 8194:8963 9218:9987 10242:11011 11266:12035 12290:13059 13314:14083 14338:15107 15362:16131" s="35" customFormat="1" ht="31.2" x14ac:dyDescent="0.3">
      <c r="A796" s="36"/>
      <c r="B796" s="50"/>
      <c r="C796" s="66" t="s">
        <v>627</v>
      </c>
      <c r="D796" s="39" t="s">
        <v>234</v>
      </c>
      <c r="E796" s="73">
        <v>9.75</v>
      </c>
      <c r="F796" s="74">
        <v>1032000</v>
      </c>
      <c r="G796" s="40">
        <f>E796*F796</f>
        <v>10062000</v>
      </c>
      <c r="H796" s="45"/>
    </row>
    <row r="797" spans="1:771 1026:1795 2050:2819 3074:3843 4098:4867 5122:5891 6146:6915 7170:7939 8194:8963 9218:9987 10242:11011 11266:12035 12290:13059 13314:14083 14338:15107 15362:16131" s="35" customFormat="1" x14ac:dyDescent="0.3">
      <c r="A797" s="36"/>
      <c r="B797" s="50"/>
      <c r="C797" s="66" t="s">
        <v>628</v>
      </c>
      <c r="D797" s="39" t="s">
        <v>231</v>
      </c>
      <c r="E797" s="73">
        <v>0.9</v>
      </c>
      <c r="F797" s="40">
        <v>1533000</v>
      </c>
      <c r="G797" s="40">
        <f>E797*F797</f>
        <v>1379700</v>
      </c>
      <c r="H797" s="45"/>
    </row>
    <row r="798" spans="1:771 1026:1795 2050:2819 3074:3843 4098:4867 5122:5891 6146:6915 7170:7939 8194:8963 9218:9987 10242:11011 11266:12035 12290:13059 13314:14083 14338:15107 15362:16131" s="35" customFormat="1" x14ac:dyDescent="0.3">
      <c r="A798" s="36"/>
      <c r="B798" s="46"/>
      <c r="C798" s="51" t="s">
        <v>20</v>
      </c>
      <c r="D798" s="39"/>
      <c r="E798" s="73"/>
      <c r="F798" s="40"/>
      <c r="G798" s="41">
        <f>SUM(G799:G801)</f>
        <v>813000</v>
      </c>
      <c r="H798" s="52"/>
    </row>
    <row r="799" spans="1:771 1026:1795 2050:2819 3074:3843 4098:4867 5122:5891 6146:6915 7170:7939 8194:8963 9218:9987 10242:11011 11266:12035 12290:13059 13314:14083 14338:15107 15362:16131" s="77" customFormat="1" x14ac:dyDescent="0.3">
      <c r="A799" s="36"/>
      <c r="B799" s="37"/>
      <c r="C799" s="75" t="s">
        <v>629</v>
      </c>
      <c r="D799" s="76" t="s">
        <v>21</v>
      </c>
      <c r="E799" s="73">
        <v>1</v>
      </c>
      <c r="F799" s="74">
        <v>713000</v>
      </c>
      <c r="G799" s="40">
        <f>E799*F799</f>
        <v>713000</v>
      </c>
      <c r="H799" s="52"/>
    </row>
    <row r="800" spans="1:771 1026:1795 2050:2819 3074:3843 4098:4867 5122:5891 6146:6915 7170:7939 8194:8963 9218:9987 10242:11011 11266:12035 12290:13059 13314:14083 14338:15107 15362:16131" s="77" customFormat="1" x14ac:dyDescent="0.3">
      <c r="A800" s="36"/>
      <c r="B800" s="37"/>
      <c r="C800" s="75" t="s">
        <v>630</v>
      </c>
      <c r="D800" s="76" t="s">
        <v>21</v>
      </c>
      <c r="E800" s="73">
        <v>1</v>
      </c>
      <c r="F800" s="74">
        <v>60000</v>
      </c>
      <c r="G800" s="40">
        <f>E800*F800</f>
        <v>60000</v>
      </c>
      <c r="H800" s="52"/>
    </row>
    <row r="801" spans="1:771 1026:1795 2050:2819 3074:3843 4098:4867 5122:5891 6146:6915 7170:7939 8194:8963 9218:9987 10242:11011 11266:12035 12290:13059 13314:14083 14338:15107 15362:16131" s="77" customFormat="1" x14ac:dyDescent="0.3">
      <c r="A801" s="36"/>
      <c r="B801" s="37"/>
      <c r="C801" s="75" t="s">
        <v>631</v>
      </c>
      <c r="D801" s="76" t="s">
        <v>22</v>
      </c>
      <c r="E801" s="73">
        <v>1</v>
      </c>
      <c r="F801" s="74">
        <v>40000</v>
      </c>
      <c r="G801" s="40">
        <f>E801*F801</f>
        <v>40000</v>
      </c>
      <c r="H801" s="52"/>
    </row>
    <row r="802" spans="1:771 1026:1795 2050:2819 3074:3843 4098:4867 5122:5891 6146:6915 7170:7939 8194:8963 9218:9987 10242:11011 11266:12035 12290:13059 13314:14083 14338:15107 15362:16131" s="35" customFormat="1" x14ac:dyDescent="0.3">
      <c r="A802" s="36"/>
      <c r="B802" s="46"/>
      <c r="C802" s="51" t="s">
        <v>23</v>
      </c>
      <c r="D802" s="39"/>
      <c r="E802" s="1"/>
      <c r="F802" s="2"/>
      <c r="G802" s="41">
        <f>SUM(G803)</f>
        <v>3060000</v>
      </c>
      <c r="H802" s="52"/>
    </row>
    <row r="803" spans="1:771 1026:1795 2050:2819 3074:3843 4098:4867 5122:5891 6146:6915 7170:7939 8194:8963 9218:9987 10242:11011 11266:12035 12290:13059 13314:14083 14338:15107 15362:16131" s="35" customFormat="1" x14ac:dyDescent="0.3">
      <c r="A803" s="36"/>
      <c r="B803" s="46"/>
      <c r="C803" s="50" t="s">
        <v>24</v>
      </c>
      <c r="D803" s="39" t="s">
        <v>25</v>
      </c>
      <c r="E803" s="1">
        <f>1*30*6</f>
        <v>180</v>
      </c>
      <c r="F803" s="2">
        <v>17000</v>
      </c>
      <c r="G803" s="40">
        <f>E803*F803</f>
        <v>3060000</v>
      </c>
      <c r="H803" s="42"/>
    </row>
    <row r="804" spans="1:771 1026:1795 2050:2819 3074:3843 4098:4867 5122:5891 6146:6915 7170:7939 8194:8963 9218:9987 10242:11011 11266:12035 12290:13059 13314:14083 14338:15107 15362:16131" s="35" customFormat="1" ht="65.400000000000006" thickBot="1" x14ac:dyDescent="0.35">
      <c r="A804" s="53"/>
      <c r="B804" s="54"/>
      <c r="C804" s="55" t="s">
        <v>2331</v>
      </c>
      <c r="D804" s="56"/>
      <c r="E804" s="5"/>
      <c r="F804" s="6"/>
      <c r="G804" s="57"/>
      <c r="H804" s="58"/>
    </row>
    <row r="805" spans="1:771 1026:1795 2050:2819 3074:3843 4098:4867 5122:5891 6146:6915 7170:7939 8194:8963 9218:9987 10242:11011 11266:12035 12290:13059 13314:14083 14338:15107 15362:16131" s="59" customFormat="1" ht="31.8" thickBot="1" x14ac:dyDescent="0.35">
      <c r="A805" s="154"/>
      <c r="B805" s="155" t="s">
        <v>26</v>
      </c>
      <c r="C805" s="156"/>
      <c r="D805" s="154"/>
      <c r="E805" s="157"/>
      <c r="F805" s="158"/>
      <c r="G805" s="159">
        <f>SUM(G790:G804)/2</f>
        <v>504373700</v>
      </c>
      <c r="H805" s="160"/>
      <c r="IX805" s="35"/>
      <c r="IY805" s="35"/>
      <c r="ST805" s="35"/>
      <c r="SU805" s="35"/>
      <c r="ACP805" s="35"/>
      <c r="ACQ805" s="35"/>
      <c r="AML805" s="35"/>
      <c r="AMM805" s="35"/>
      <c r="AWH805" s="35"/>
      <c r="AWI805" s="35"/>
      <c r="BGD805" s="35"/>
      <c r="BGE805" s="35"/>
      <c r="BPZ805" s="35"/>
      <c r="BQA805" s="35"/>
      <c r="BZV805" s="35"/>
      <c r="BZW805" s="35"/>
      <c r="CJR805" s="35"/>
      <c r="CJS805" s="35"/>
      <c r="CTN805" s="35"/>
      <c r="CTO805" s="35"/>
      <c r="DDJ805" s="35"/>
      <c r="DDK805" s="35"/>
      <c r="DNF805" s="35"/>
      <c r="DNG805" s="35"/>
      <c r="DXB805" s="35"/>
      <c r="DXC805" s="35"/>
      <c r="EGX805" s="35"/>
      <c r="EGY805" s="35"/>
      <c r="EQT805" s="35"/>
      <c r="EQU805" s="35"/>
      <c r="FAP805" s="35"/>
      <c r="FAQ805" s="35"/>
      <c r="FKL805" s="35"/>
      <c r="FKM805" s="35"/>
      <c r="FUH805" s="35"/>
      <c r="FUI805" s="35"/>
      <c r="GED805" s="35"/>
      <c r="GEE805" s="35"/>
      <c r="GNZ805" s="35"/>
      <c r="GOA805" s="35"/>
      <c r="GXV805" s="35"/>
      <c r="GXW805" s="35"/>
      <c r="HHR805" s="35"/>
      <c r="HHS805" s="35"/>
      <c r="HRN805" s="35"/>
      <c r="HRO805" s="35"/>
      <c r="IBJ805" s="35"/>
      <c r="IBK805" s="35"/>
      <c r="ILF805" s="35"/>
      <c r="ILG805" s="35"/>
      <c r="IVB805" s="35"/>
      <c r="IVC805" s="35"/>
      <c r="JEX805" s="35"/>
      <c r="JEY805" s="35"/>
      <c r="JOT805" s="35"/>
      <c r="JOU805" s="35"/>
      <c r="JYP805" s="35"/>
      <c r="JYQ805" s="35"/>
      <c r="KIL805" s="35"/>
      <c r="KIM805" s="35"/>
      <c r="KSH805" s="35"/>
      <c r="KSI805" s="35"/>
      <c r="LCD805" s="35"/>
      <c r="LCE805" s="35"/>
      <c r="LLZ805" s="35"/>
      <c r="LMA805" s="35"/>
      <c r="LVV805" s="35"/>
      <c r="LVW805" s="35"/>
      <c r="MFR805" s="35"/>
      <c r="MFS805" s="35"/>
      <c r="MPN805" s="35"/>
      <c r="MPO805" s="35"/>
      <c r="MZJ805" s="35"/>
      <c r="MZK805" s="35"/>
      <c r="NJF805" s="35"/>
      <c r="NJG805" s="35"/>
      <c r="NTB805" s="35"/>
      <c r="NTC805" s="35"/>
      <c r="OCX805" s="35"/>
      <c r="OCY805" s="35"/>
      <c r="OMT805" s="35"/>
      <c r="OMU805" s="35"/>
      <c r="OWP805" s="35"/>
      <c r="OWQ805" s="35"/>
      <c r="PGL805" s="35"/>
      <c r="PGM805" s="35"/>
      <c r="PQH805" s="35"/>
      <c r="PQI805" s="35"/>
      <c r="QAD805" s="35"/>
      <c r="QAE805" s="35"/>
      <c r="QJZ805" s="35"/>
      <c r="QKA805" s="35"/>
      <c r="QTV805" s="35"/>
      <c r="QTW805" s="35"/>
      <c r="RDR805" s="35"/>
      <c r="RDS805" s="35"/>
      <c r="RNN805" s="35"/>
      <c r="RNO805" s="35"/>
      <c r="RXJ805" s="35"/>
      <c r="RXK805" s="35"/>
      <c r="SHF805" s="35"/>
      <c r="SHG805" s="35"/>
      <c r="SRB805" s="35"/>
      <c r="SRC805" s="35"/>
      <c r="TAX805" s="35"/>
      <c r="TAY805" s="35"/>
      <c r="TKT805" s="35"/>
      <c r="TKU805" s="35"/>
      <c r="TUP805" s="35"/>
      <c r="TUQ805" s="35"/>
      <c r="UEL805" s="35"/>
      <c r="UEM805" s="35"/>
      <c r="UOH805" s="35"/>
      <c r="UOI805" s="35"/>
      <c r="UYD805" s="35"/>
      <c r="UYE805" s="35"/>
      <c r="VHZ805" s="35"/>
      <c r="VIA805" s="35"/>
      <c r="VRV805" s="35"/>
      <c r="VRW805" s="35"/>
      <c r="WBR805" s="35"/>
      <c r="WBS805" s="35"/>
      <c r="WLN805" s="35"/>
      <c r="WLO805" s="35"/>
      <c r="WVJ805" s="35"/>
      <c r="WVK805" s="35"/>
    </row>
    <row r="806" spans="1:771 1026:1795 2050:2819 3074:3843 4098:4867 5122:5891 6146:6915 7170:7939 8194:8963 9218:9987 10242:11011 11266:12035 12290:13059 13314:14083 14338:15107 15362:16131" s="35" customFormat="1" ht="31.2" x14ac:dyDescent="0.3">
      <c r="A806" s="28">
        <v>69</v>
      </c>
      <c r="B806" s="29" t="s">
        <v>632</v>
      </c>
      <c r="C806" s="30" t="s">
        <v>636</v>
      </c>
      <c r="D806" s="31" t="s">
        <v>13</v>
      </c>
      <c r="E806" s="32">
        <v>6</v>
      </c>
      <c r="F806" s="33"/>
      <c r="G806" s="33"/>
      <c r="H806" s="34" t="s">
        <v>633</v>
      </c>
    </row>
    <row r="807" spans="1:771 1026:1795 2050:2819 3074:3843 4098:4867 5122:5891 6146:6915 7170:7939 8194:8963 9218:9987 10242:11011 11266:12035 12290:13059 13314:14083 14338:15107 15362:16131" s="35" customFormat="1" ht="46.8" x14ac:dyDescent="0.3">
      <c r="A807" s="36"/>
      <c r="B807" s="72" t="s">
        <v>638</v>
      </c>
      <c r="C807" s="38" t="s">
        <v>14</v>
      </c>
      <c r="D807" s="39"/>
      <c r="E807" s="44"/>
      <c r="F807" s="40"/>
      <c r="G807" s="41">
        <f>SUM(G808)</f>
        <v>62424000</v>
      </c>
      <c r="H807" s="42"/>
    </row>
    <row r="808" spans="1:771 1026:1795 2050:2819 3074:3843 4098:4867 5122:5891 6146:6915 7170:7939 8194:8963 9218:9987 10242:11011 11266:12035 12290:13059 13314:14083 14338:15107 15362:16131" s="35" customFormat="1" ht="46.8" x14ac:dyDescent="0.3">
      <c r="A808" s="36"/>
      <c r="B808" s="72" t="s">
        <v>634</v>
      </c>
      <c r="C808" s="43" t="s">
        <v>55</v>
      </c>
      <c r="D808" s="39" t="s">
        <v>13</v>
      </c>
      <c r="E808" s="73">
        <v>6</v>
      </c>
      <c r="F808" s="153">
        <v>10404000</v>
      </c>
      <c r="G808" s="40">
        <f>E808*F808</f>
        <v>62424000</v>
      </c>
      <c r="H808" s="42"/>
    </row>
    <row r="809" spans="1:771 1026:1795 2050:2819 3074:3843 4098:4867 5122:5891 6146:6915 7170:7939 8194:8963 9218:9987 10242:11011 11266:12035 12290:13059 13314:14083 14338:15107 15362:16131" s="35" customFormat="1" x14ac:dyDescent="0.3">
      <c r="A809" s="36"/>
      <c r="B809" s="72" t="s">
        <v>635</v>
      </c>
      <c r="C809" s="47" t="s">
        <v>35</v>
      </c>
      <c r="D809" s="39"/>
      <c r="E809" s="73"/>
      <c r="F809" s="40"/>
      <c r="G809" s="41">
        <f>SUM(G810)</f>
        <v>8620800</v>
      </c>
      <c r="H809" s="45"/>
    </row>
    <row r="810" spans="1:771 1026:1795 2050:2819 3074:3843 4098:4867 5122:5891 6146:6915 7170:7939 8194:8963 9218:9987 10242:11011 11266:12035 12290:13059 13314:14083 14338:15107 15362:16131" s="35" customFormat="1" ht="109.2" x14ac:dyDescent="0.3">
      <c r="A810" s="36"/>
      <c r="B810" s="50"/>
      <c r="C810" s="66" t="s">
        <v>637</v>
      </c>
      <c r="D810" s="39" t="s">
        <v>13</v>
      </c>
      <c r="E810" s="73">
        <v>6</v>
      </c>
      <c r="F810" s="74">
        <f>3592000*40%</f>
        <v>1436800</v>
      </c>
      <c r="G810" s="40">
        <f>E810*F810</f>
        <v>8620800</v>
      </c>
      <c r="H810" s="45" t="s">
        <v>2427</v>
      </c>
    </row>
    <row r="811" spans="1:771 1026:1795 2050:2819 3074:3843 4098:4867 5122:5891 6146:6915 7170:7939 8194:8963 9218:9987 10242:11011 11266:12035 12290:13059 13314:14083 14338:15107 15362:16131" s="35" customFormat="1" ht="65.400000000000006" thickBot="1" x14ac:dyDescent="0.35">
      <c r="A811" s="53"/>
      <c r="B811" s="54"/>
      <c r="C811" s="55" t="s">
        <v>2331</v>
      </c>
      <c r="D811" s="56"/>
      <c r="E811" s="5"/>
      <c r="F811" s="6"/>
      <c r="G811" s="57"/>
      <c r="H811" s="58"/>
    </row>
    <row r="812" spans="1:771 1026:1795 2050:2819 3074:3843 4098:4867 5122:5891 6146:6915 7170:7939 8194:8963 9218:9987 10242:11011 11266:12035 12290:13059 13314:14083 14338:15107 15362:16131" s="59" customFormat="1" ht="31.8" thickBot="1" x14ac:dyDescent="0.35">
      <c r="A812" s="154"/>
      <c r="B812" s="155" t="s">
        <v>26</v>
      </c>
      <c r="C812" s="156"/>
      <c r="D812" s="154"/>
      <c r="E812" s="157"/>
      <c r="F812" s="158"/>
      <c r="G812" s="159">
        <f>SUM(G806:G811)/2</f>
        <v>71044800</v>
      </c>
      <c r="H812" s="160"/>
      <c r="IX812" s="35"/>
      <c r="IY812" s="35"/>
      <c r="ST812" s="35"/>
      <c r="SU812" s="35"/>
      <c r="ACP812" s="35"/>
      <c r="ACQ812" s="35"/>
      <c r="AML812" s="35"/>
      <c r="AMM812" s="35"/>
      <c r="AWH812" s="35"/>
      <c r="AWI812" s="35"/>
      <c r="BGD812" s="35"/>
      <c r="BGE812" s="35"/>
      <c r="BPZ812" s="35"/>
      <c r="BQA812" s="35"/>
      <c r="BZV812" s="35"/>
      <c r="BZW812" s="35"/>
      <c r="CJR812" s="35"/>
      <c r="CJS812" s="35"/>
      <c r="CTN812" s="35"/>
      <c r="CTO812" s="35"/>
      <c r="DDJ812" s="35"/>
      <c r="DDK812" s="35"/>
      <c r="DNF812" s="35"/>
      <c r="DNG812" s="35"/>
      <c r="DXB812" s="35"/>
      <c r="DXC812" s="35"/>
      <c r="EGX812" s="35"/>
      <c r="EGY812" s="35"/>
      <c r="EQT812" s="35"/>
      <c r="EQU812" s="35"/>
      <c r="FAP812" s="35"/>
      <c r="FAQ812" s="35"/>
      <c r="FKL812" s="35"/>
      <c r="FKM812" s="35"/>
      <c r="FUH812" s="35"/>
      <c r="FUI812" s="35"/>
      <c r="GED812" s="35"/>
      <c r="GEE812" s="35"/>
      <c r="GNZ812" s="35"/>
      <c r="GOA812" s="35"/>
      <c r="GXV812" s="35"/>
      <c r="GXW812" s="35"/>
      <c r="HHR812" s="35"/>
      <c r="HHS812" s="35"/>
      <c r="HRN812" s="35"/>
      <c r="HRO812" s="35"/>
      <c r="IBJ812" s="35"/>
      <c r="IBK812" s="35"/>
      <c r="ILF812" s="35"/>
      <c r="ILG812" s="35"/>
      <c r="IVB812" s="35"/>
      <c r="IVC812" s="35"/>
      <c r="JEX812" s="35"/>
      <c r="JEY812" s="35"/>
      <c r="JOT812" s="35"/>
      <c r="JOU812" s="35"/>
      <c r="JYP812" s="35"/>
      <c r="JYQ812" s="35"/>
      <c r="KIL812" s="35"/>
      <c r="KIM812" s="35"/>
      <c r="KSH812" s="35"/>
      <c r="KSI812" s="35"/>
      <c r="LCD812" s="35"/>
      <c r="LCE812" s="35"/>
      <c r="LLZ812" s="35"/>
      <c r="LMA812" s="35"/>
      <c r="LVV812" s="35"/>
      <c r="LVW812" s="35"/>
      <c r="MFR812" s="35"/>
      <c r="MFS812" s="35"/>
      <c r="MPN812" s="35"/>
      <c r="MPO812" s="35"/>
      <c r="MZJ812" s="35"/>
      <c r="MZK812" s="35"/>
      <c r="NJF812" s="35"/>
      <c r="NJG812" s="35"/>
      <c r="NTB812" s="35"/>
      <c r="NTC812" s="35"/>
      <c r="OCX812" s="35"/>
      <c r="OCY812" s="35"/>
      <c r="OMT812" s="35"/>
      <c r="OMU812" s="35"/>
      <c r="OWP812" s="35"/>
      <c r="OWQ812" s="35"/>
      <c r="PGL812" s="35"/>
      <c r="PGM812" s="35"/>
      <c r="PQH812" s="35"/>
      <c r="PQI812" s="35"/>
      <c r="QAD812" s="35"/>
      <c r="QAE812" s="35"/>
      <c r="QJZ812" s="35"/>
      <c r="QKA812" s="35"/>
      <c r="QTV812" s="35"/>
      <c r="QTW812" s="35"/>
      <c r="RDR812" s="35"/>
      <c r="RDS812" s="35"/>
      <c r="RNN812" s="35"/>
      <c r="RNO812" s="35"/>
      <c r="RXJ812" s="35"/>
      <c r="RXK812" s="35"/>
      <c r="SHF812" s="35"/>
      <c r="SHG812" s="35"/>
      <c r="SRB812" s="35"/>
      <c r="SRC812" s="35"/>
      <c r="TAX812" s="35"/>
      <c r="TAY812" s="35"/>
      <c r="TKT812" s="35"/>
      <c r="TKU812" s="35"/>
      <c r="TUP812" s="35"/>
      <c r="TUQ812" s="35"/>
      <c r="UEL812" s="35"/>
      <c r="UEM812" s="35"/>
      <c r="UOH812" s="35"/>
      <c r="UOI812" s="35"/>
      <c r="UYD812" s="35"/>
      <c r="UYE812" s="35"/>
      <c r="VHZ812" s="35"/>
      <c r="VIA812" s="35"/>
      <c r="VRV812" s="35"/>
      <c r="VRW812" s="35"/>
      <c r="WBR812" s="35"/>
      <c r="WBS812" s="35"/>
      <c r="WLN812" s="35"/>
      <c r="WLO812" s="35"/>
      <c r="WVJ812" s="35"/>
      <c r="WVK812" s="35"/>
    </row>
    <row r="813" spans="1:771 1026:1795 2050:2819 3074:3843 4098:4867 5122:5891 6146:6915 7170:7939 8194:8963 9218:9987 10242:11011 11266:12035 12290:13059 13314:14083 14338:15107 15362:16131" s="35" customFormat="1" ht="69" x14ac:dyDescent="0.3">
      <c r="A813" s="28">
        <v>70</v>
      </c>
      <c r="B813" s="29" t="s">
        <v>1399</v>
      </c>
      <c r="C813" s="30" t="s">
        <v>642</v>
      </c>
      <c r="D813" s="31" t="s">
        <v>13</v>
      </c>
      <c r="E813" s="32">
        <v>7.1</v>
      </c>
      <c r="F813" s="33"/>
      <c r="G813" s="33"/>
      <c r="H813" s="34" t="s">
        <v>649</v>
      </c>
    </row>
    <row r="814" spans="1:771 1026:1795 2050:2819 3074:3843 4098:4867 5122:5891 6146:6915 7170:7939 8194:8963 9218:9987 10242:11011 11266:12035 12290:13059 13314:14083 14338:15107 15362:16131" s="35" customFormat="1" x14ac:dyDescent="0.3">
      <c r="A814" s="36"/>
      <c r="B814" s="72" t="s">
        <v>639</v>
      </c>
      <c r="C814" s="38" t="s">
        <v>14</v>
      </c>
      <c r="D814" s="39"/>
      <c r="E814" s="44"/>
      <c r="F814" s="40"/>
      <c r="G814" s="41">
        <f>SUM(G815)</f>
        <v>138300900</v>
      </c>
      <c r="H814" s="42"/>
    </row>
    <row r="815" spans="1:771 1026:1795 2050:2819 3074:3843 4098:4867 5122:5891 6146:6915 7170:7939 8194:8963 9218:9987 10242:11011 11266:12035 12290:13059 13314:14083 14338:15107 15362:16131" s="35" customFormat="1" ht="62.4" x14ac:dyDescent="0.3">
      <c r="A815" s="36"/>
      <c r="B815" s="72" t="s">
        <v>640</v>
      </c>
      <c r="C815" s="48" t="s">
        <v>38</v>
      </c>
      <c r="D815" s="39" t="s">
        <v>13</v>
      </c>
      <c r="E815" s="44">
        <v>7.1</v>
      </c>
      <c r="F815" s="161">
        <v>19479000</v>
      </c>
      <c r="G815" s="40">
        <f>E815*F815</f>
        <v>138300900</v>
      </c>
      <c r="H815" s="42"/>
    </row>
    <row r="816" spans="1:771 1026:1795 2050:2819 3074:3843 4098:4867 5122:5891 6146:6915 7170:7939 8194:8963 9218:9987 10242:11011 11266:12035 12290:13059 13314:14083 14338:15107 15362:16131" s="35" customFormat="1" x14ac:dyDescent="0.3">
      <c r="A816" s="36"/>
      <c r="B816" s="72" t="s">
        <v>641</v>
      </c>
      <c r="C816" s="47" t="s">
        <v>35</v>
      </c>
      <c r="D816" s="39"/>
      <c r="E816" s="73"/>
      <c r="F816" s="40"/>
      <c r="G816" s="41">
        <f>SUM(G817)</f>
        <v>44648560</v>
      </c>
      <c r="H816" s="45"/>
    </row>
    <row r="817" spans="1:771 1026:1795 2050:2819 3074:3843 4098:4867 5122:5891 6146:6915 7170:7939 8194:8963 9218:9987 10242:11011 11266:12035 12290:13059 13314:14083 14338:15107 15362:16131" s="35" customFormat="1" ht="109.2" x14ac:dyDescent="0.3">
      <c r="A817" s="36"/>
      <c r="B817" s="50"/>
      <c r="C817" s="66" t="s">
        <v>643</v>
      </c>
      <c r="D817" s="39"/>
      <c r="E817" s="73">
        <v>12.43</v>
      </c>
      <c r="F817" s="74">
        <v>3592000</v>
      </c>
      <c r="G817" s="40">
        <f>E817*F817</f>
        <v>44648560</v>
      </c>
      <c r="H817" s="45" t="s">
        <v>2428</v>
      </c>
    </row>
    <row r="818" spans="1:771 1026:1795 2050:2819 3074:3843 4098:4867 5122:5891 6146:6915 7170:7939 8194:8963 9218:9987 10242:11011 11266:12035 12290:13059 13314:14083 14338:15107 15362:16131" s="35" customFormat="1" ht="65.400000000000006" thickBot="1" x14ac:dyDescent="0.35">
      <c r="A818" s="53"/>
      <c r="B818" s="54"/>
      <c r="C818" s="55" t="s">
        <v>2331</v>
      </c>
      <c r="D818" s="56"/>
      <c r="E818" s="5"/>
      <c r="F818" s="6"/>
      <c r="G818" s="57"/>
      <c r="H818" s="58"/>
    </row>
    <row r="819" spans="1:771 1026:1795 2050:2819 3074:3843 4098:4867 5122:5891 6146:6915 7170:7939 8194:8963 9218:9987 10242:11011 11266:12035 12290:13059 13314:14083 14338:15107 15362:16131" s="59" customFormat="1" ht="31.8" thickBot="1" x14ac:dyDescent="0.35">
      <c r="A819" s="154"/>
      <c r="B819" s="155" t="s">
        <v>26</v>
      </c>
      <c r="C819" s="156"/>
      <c r="D819" s="154"/>
      <c r="E819" s="157"/>
      <c r="F819" s="158"/>
      <c r="G819" s="159">
        <f>SUM(G813:G818)/2</f>
        <v>182949460</v>
      </c>
      <c r="H819" s="160"/>
      <c r="IX819" s="35"/>
      <c r="IY819" s="35"/>
      <c r="ST819" s="35"/>
      <c r="SU819" s="35"/>
      <c r="ACP819" s="35"/>
      <c r="ACQ819" s="35"/>
      <c r="AML819" s="35"/>
      <c r="AMM819" s="35"/>
      <c r="AWH819" s="35"/>
      <c r="AWI819" s="35"/>
      <c r="BGD819" s="35"/>
      <c r="BGE819" s="35"/>
      <c r="BPZ819" s="35"/>
      <c r="BQA819" s="35"/>
      <c r="BZV819" s="35"/>
      <c r="BZW819" s="35"/>
      <c r="CJR819" s="35"/>
      <c r="CJS819" s="35"/>
      <c r="CTN819" s="35"/>
      <c r="CTO819" s="35"/>
      <c r="DDJ819" s="35"/>
      <c r="DDK819" s="35"/>
      <c r="DNF819" s="35"/>
      <c r="DNG819" s="35"/>
      <c r="DXB819" s="35"/>
      <c r="DXC819" s="35"/>
      <c r="EGX819" s="35"/>
      <c r="EGY819" s="35"/>
      <c r="EQT819" s="35"/>
      <c r="EQU819" s="35"/>
      <c r="FAP819" s="35"/>
      <c r="FAQ819" s="35"/>
      <c r="FKL819" s="35"/>
      <c r="FKM819" s="35"/>
      <c r="FUH819" s="35"/>
      <c r="FUI819" s="35"/>
      <c r="GED819" s="35"/>
      <c r="GEE819" s="35"/>
      <c r="GNZ819" s="35"/>
      <c r="GOA819" s="35"/>
      <c r="GXV819" s="35"/>
      <c r="GXW819" s="35"/>
      <c r="HHR819" s="35"/>
      <c r="HHS819" s="35"/>
      <c r="HRN819" s="35"/>
      <c r="HRO819" s="35"/>
      <c r="IBJ819" s="35"/>
      <c r="IBK819" s="35"/>
      <c r="ILF819" s="35"/>
      <c r="ILG819" s="35"/>
      <c r="IVB819" s="35"/>
      <c r="IVC819" s="35"/>
      <c r="JEX819" s="35"/>
      <c r="JEY819" s="35"/>
      <c r="JOT819" s="35"/>
      <c r="JOU819" s="35"/>
      <c r="JYP819" s="35"/>
      <c r="JYQ819" s="35"/>
      <c r="KIL819" s="35"/>
      <c r="KIM819" s="35"/>
      <c r="KSH819" s="35"/>
      <c r="KSI819" s="35"/>
      <c r="LCD819" s="35"/>
      <c r="LCE819" s="35"/>
      <c r="LLZ819" s="35"/>
      <c r="LMA819" s="35"/>
      <c r="LVV819" s="35"/>
      <c r="LVW819" s="35"/>
      <c r="MFR819" s="35"/>
      <c r="MFS819" s="35"/>
      <c r="MPN819" s="35"/>
      <c r="MPO819" s="35"/>
      <c r="MZJ819" s="35"/>
      <c r="MZK819" s="35"/>
      <c r="NJF819" s="35"/>
      <c r="NJG819" s="35"/>
      <c r="NTB819" s="35"/>
      <c r="NTC819" s="35"/>
      <c r="OCX819" s="35"/>
      <c r="OCY819" s="35"/>
      <c r="OMT819" s="35"/>
      <c r="OMU819" s="35"/>
      <c r="OWP819" s="35"/>
      <c r="OWQ819" s="35"/>
      <c r="PGL819" s="35"/>
      <c r="PGM819" s="35"/>
      <c r="PQH819" s="35"/>
      <c r="PQI819" s="35"/>
      <c r="QAD819" s="35"/>
      <c r="QAE819" s="35"/>
      <c r="QJZ819" s="35"/>
      <c r="QKA819" s="35"/>
      <c r="QTV819" s="35"/>
      <c r="QTW819" s="35"/>
      <c r="RDR819" s="35"/>
      <c r="RDS819" s="35"/>
      <c r="RNN819" s="35"/>
      <c r="RNO819" s="35"/>
      <c r="RXJ819" s="35"/>
      <c r="RXK819" s="35"/>
      <c r="SHF819" s="35"/>
      <c r="SHG819" s="35"/>
      <c r="SRB819" s="35"/>
      <c r="SRC819" s="35"/>
      <c r="TAX819" s="35"/>
      <c r="TAY819" s="35"/>
      <c r="TKT819" s="35"/>
      <c r="TKU819" s="35"/>
      <c r="TUP819" s="35"/>
      <c r="TUQ819" s="35"/>
      <c r="UEL819" s="35"/>
      <c r="UEM819" s="35"/>
      <c r="UOH819" s="35"/>
      <c r="UOI819" s="35"/>
      <c r="UYD819" s="35"/>
      <c r="UYE819" s="35"/>
      <c r="VHZ819" s="35"/>
      <c r="VIA819" s="35"/>
      <c r="VRV819" s="35"/>
      <c r="VRW819" s="35"/>
      <c r="WBR819" s="35"/>
      <c r="WBS819" s="35"/>
      <c r="WLN819" s="35"/>
      <c r="WLO819" s="35"/>
      <c r="WVJ819" s="35"/>
      <c r="WVK819" s="35"/>
    </row>
    <row r="820" spans="1:771 1026:1795 2050:2819 3074:3843 4098:4867 5122:5891 6146:6915 7170:7939 8194:8963 9218:9987 10242:11011 11266:12035 12290:13059 13314:14083 14338:15107 15362:16131" s="35" customFormat="1" ht="69" x14ac:dyDescent="0.3">
      <c r="A820" s="28">
        <v>71</v>
      </c>
      <c r="B820" s="29" t="s">
        <v>644</v>
      </c>
      <c r="C820" s="30" t="s">
        <v>650</v>
      </c>
      <c r="D820" s="31" t="s">
        <v>13</v>
      </c>
      <c r="E820" s="32">
        <v>7.4</v>
      </c>
      <c r="F820" s="33"/>
      <c r="G820" s="33"/>
      <c r="H820" s="34" t="s">
        <v>648</v>
      </c>
    </row>
    <row r="821" spans="1:771 1026:1795 2050:2819 3074:3843 4098:4867 5122:5891 6146:6915 7170:7939 8194:8963 9218:9987 10242:11011 11266:12035 12290:13059 13314:14083 14338:15107 15362:16131" s="35" customFormat="1" x14ac:dyDescent="0.3">
      <c r="A821" s="36"/>
      <c r="B821" s="72" t="s">
        <v>645</v>
      </c>
      <c r="C821" s="38" t="s">
        <v>14</v>
      </c>
      <c r="D821" s="39"/>
      <c r="E821" s="44"/>
      <c r="F821" s="40"/>
      <c r="G821" s="41">
        <f>SUM(G822)</f>
        <v>144144600</v>
      </c>
      <c r="H821" s="42"/>
    </row>
    <row r="822" spans="1:771 1026:1795 2050:2819 3074:3843 4098:4867 5122:5891 6146:6915 7170:7939 8194:8963 9218:9987 10242:11011 11266:12035 12290:13059 13314:14083 14338:15107 15362:16131" s="35" customFormat="1" ht="62.4" x14ac:dyDescent="0.3">
      <c r="A822" s="36"/>
      <c r="B822" s="72" t="s">
        <v>646</v>
      </c>
      <c r="C822" s="48" t="s">
        <v>38</v>
      </c>
      <c r="D822" s="39" t="s">
        <v>13</v>
      </c>
      <c r="E822" s="44">
        <v>7.4</v>
      </c>
      <c r="F822" s="161">
        <v>19479000</v>
      </c>
      <c r="G822" s="40">
        <f>E822*F822</f>
        <v>144144600</v>
      </c>
      <c r="H822" s="42"/>
    </row>
    <row r="823" spans="1:771 1026:1795 2050:2819 3074:3843 4098:4867 5122:5891 6146:6915 7170:7939 8194:8963 9218:9987 10242:11011 11266:12035 12290:13059 13314:14083 14338:15107 15362:16131" s="35" customFormat="1" x14ac:dyDescent="0.3">
      <c r="A823" s="36"/>
      <c r="B823" s="72" t="s">
        <v>647</v>
      </c>
      <c r="C823" s="47" t="s">
        <v>35</v>
      </c>
      <c r="D823" s="39"/>
      <c r="E823" s="73"/>
      <c r="F823" s="40"/>
      <c r="G823" s="41">
        <f>SUM(G824:G825)</f>
        <v>24716880</v>
      </c>
      <c r="H823" s="45"/>
    </row>
    <row r="824" spans="1:771 1026:1795 2050:2819 3074:3843 4098:4867 5122:5891 6146:6915 7170:7939 8194:8963 9218:9987 10242:11011 11266:12035 12290:13059 13314:14083 14338:15107 15362:16131" s="35" customFormat="1" ht="93.6" x14ac:dyDescent="0.3">
      <c r="A824" s="36"/>
      <c r="B824" s="50"/>
      <c r="C824" s="66" t="s">
        <v>657</v>
      </c>
      <c r="D824" s="39"/>
      <c r="E824" s="73">
        <f>1.9*3.6</f>
        <v>6.84</v>
      </c>
      <c r="F824" s="74">
        <v>3592000</v>
      </c>
      <c r="G824" s="40">
        <f>E824*F824</f>
        <v>24569280</v>
      </c>
      <c r="H824" s="45" t="s">
        <v>2429</v>
      </c>
    </row>
    <row r="825" spans="1:771 1026:1795 2050:2819 3074:3843 4098:4867 5122:5891 6146:6915 7170:7939 8194:8963 9218:9987 10242:11011 11266:12035 12290:13059 13314:14083 14338:15107 15362:16131" s="35" customFormat="1" x14ac:dyDescent="0.3">
      <c r="A825" s="36"/>
      <c r="B825" s="50"/>
      <c r="C825" s="66" t="s">
        <v>18</v>
      </c>
      <c r="D825" s="39" t="s">
        <v>234</v>
      </c>
      <c r="E825" s="73">
        <f>1.2*3</f>
        <v>3.5999999999999996</v>
      </c>
      <c r="F825" s="40">
        <v>41000</v>
      </c>
      <c r="G825" s="40">
        <f>E825*F825</f>
        <v>147599.99999999997</v>
      </c>
      <c r="H825" s="45"/>
    </row>
    <row r="826" spans="1:771 1026:1795 2050:2819 3074:3843 4098:4867 5122:5891 6146:6915 7170:7939 8194:8963 9218:9987 10242:11011 11266:12035 12290:13059 13314:14083 14338:15107 15362:16131" s="35" customFormat="1" ht="65.400000000000006" thickBot="1" x14ac:dyDescent="0.35">
      <c r="A826" s="53"/>
      <c r="B826" s="54"/>
      <c r="C826" s="55" t="s">
        <v>2331</v>
      </c>
      <c r="D826" s="56"/>
      <c r="E826" s="5"/>
      <c r="F826" s="6"/>
      <c r="G826" s="57"/>
      <c r="H826" s="58"/>
    </row>
    <row r="827" spans="1:771 1026:1795 2050:2819 3074:3843 4098:4867 5122:5891 6146:6915 7170:7939 8194:8963 9218:9987 10242:11011 11266:12035 12290:13059 13314:14083 14338:15107 15362:16131" s="59" customFormat="1" ht="31.8" thickBot="1" x14ac:dyDescent="0.35">
      <c r="A827" s="154"/>
      <c r="B827" s="155" t="s">
        <v>26</v>
      </c>
      <c r="C827" s="156"/>
      <c r="D827" s="154"/>
      <c r="E827" s="157"/>
      <c r="F827" s="158"/>
      <c r="G827" s="159">
        <f>SUM(G820:G826)/2</f>
        <v>168861480</v>
      </c>
      <c r="H827" s="160"/>
      <c r="IX827" s="35"/>
      <c r="IY827" s="35"/>
      <c r="ST827" s="35"/>
      <c r="SU827" s="35"/>
      <c r="ACP827" s="35"/>
      <c r="ACQ827" s="35"/>
      <c r="AML827" s="35"/>
      <c r="AMM827" s="35"/>
      <c r="AWH827" s="35"/>
      <c r="AWI827" s="35"/>
      <c r="BGD827" s="35"/>
      <c r="BGE827" s="35"/>
      <c r="BPZ827" s="35"/>
      <c r="BQA827" s="35"/>
      <c r="BZV827" s="35"/>
      <c r="BZW827" s="35"/>
      <c r="CJR827" s="35"/>
      <c r="CJS827" s="35"/>
      <c r="CTN827" s="35"/>
      <c r="CTO827" s="35"/>
      <c r="DDJ827" s="35"/>
      <c r="DDK827" s="35"/>
      <c r="DNF827" s="35"/>
      <c r="DNG827" s="35"/>
      <c r="DXB827" s="35"/>
      <c r="DXC827" s="35"/>
      <c r="EGX827" s="35"/>
      <c r="EGY827" s="35"/>
      <c r="EQT827" s="35"/>
      <c r="EQU827" s="35"/>
      <c r="FAP827" s="35"/>
      <c r="FAQ827" s="35"/>
      <c r="FKL827" s="35"/>
      <c r="FKM827" s="35"/>
      <c r="FUH827" s="35"/>
      <c r="FUI827" s="35"/>
      <c r="GED827" s="35"/>
      <c r="GEE827" s="35"/>
      <c r="GNZ827" s="35"/>
      <c r="GOA827" s="35"/>
      <c r="GXV827" s="35"/>
      <c r="GXW827" s="35"/>
      <c r="HHR827" s="35"/>
      <c r="HHS827" s="35"/>
      <c r="HRN827" s="35"/>
      <c r="HRO827" s="35"/>
      <c r="IBJ827" s="35"/>
      <c r="IBK827" s="35"/>
      <c r="ILF827" s="35"/>
      <c r="ILG827" s="35"/>
      <c r="IVB827" s="35"/>
      <c r="IVC827" s="35"/>
      <c r="JEX827" s="35"/>
      <c r="JEY827" s="35"/>
      <c r="JOT827" s="35"/>
      <c r="JOU827" s="35"/>
      <c r="JYP827" s="35"/>
      <c r="JYQ827" s="35"/>
      <c r="KIL827" s="35"/>
      <c r="KIM827" s="35"/>
      <c r="KSH827" s="35"/>
      <c r="KSI827" s="35"/>
      <c r="LCD827" s="35"/>
      <c r="LCE827" s="35"/>
      <c r="LLZ827" s="35"/>
      <c r="LMA827" s="35"/>
      <c r="LVV827" s="35"/>
      <c r="LVW827" s="35"/>
      <c r="MFR827" s="35"/>
      <c r="MFS827" s="35"/>
      <c r="MPN827" s="35"/>
      <c r="MPO827" s="35"/>
      <c r="MZJ827" s="35"/>
      <c r="MZK827" s="35"/>
      <c r="NJF827" s="35"/>
      <c r="NJG827" s="35"/>
      <c r="NTB827" s="35"/>
      <c r="NTC827" s="35"/>
      <c r="OCX827" s="35"/>
      <c r="OCY827" s="35"/>
      <c r="OMT827" s="35"/>
      <c r="OMU827" s="35"/>
      <c r="OWP827" s="35"/>
      <c r="OWQ827" s="35"/>
      <c r="PGL827" s="35"/>
      <c r="PGM827" s="35"/>
      <c r="PQH827" s="35"/>
      <c r="PQI827" s="35"/>
      <c r="QAD827" s="35"/>
      <c r="QAE827" s="35"/>
      <c r="QJZ827" s="35"/>
      <c r="QKA827" s="35"/>
      <c r="QTV827" s="35"/>
      <c r="QTW827" s="35"/>
      <c r="RDR827" s="35"/>
      <c r="RDS827" s="35"/>
      <c r="RNN827" s="35"/>
      <c r="RNO827" s="35"/>
      <c r="RXJ827" s="35"/>
      <c r="RXK827" s="35"/>
      <c r="SHF827" s="35"/>
      <c r="SHG827" s="35"/>
      <c r="SRB827" s="35"/>
      <c r="SRC827" s="35"/>
      <c r="TAX827" s="35"/>
      <c r="TAY827" s="35"/>
      <c r="TKT827" s="35"/>
      <c r="TKU827" s="35"/>
      <c r="TUP827" s="35"/>
      <c r="TUQ827" s="35"/>
      <c r="UEL827" s="35"/>
      <c r="UEM827" s="35"/>
      <c r="UOH827" s="35"/>
      <c r="UOI827" s="35"/>
      <c r="UYD827" s="35"/>
      <c r="UYE827" s="35"/>
      <c r="VHZ827" s="35"/>
      <c r="VIA827" s="35"/>
      <c r="VRV827" s="35"/>
      <c r="VRW827" s="35"/>
      <c r="WBR827" s="35"/>
      <c r="WBS827" s="35"/>
      <c r="WLN827" s="35"/>
      <c r="WLO827" s="35"/>
      <c r="WVJ827" s="35"/>
      <c r="WVK827" s="35"/>
    </row>
    <row r="828" spans="1:771 1026:1795 2050:2819 3074:3843 4098:4867 5122:5891 6146:6915 7170:7939 8194:8963 9218:9987 10242:11011 11266:12035 12290:13059 13314:14083 14338:15107 15362:16131" s="35" customFormat="1" ht="69" x14ac:dyDescent="0.3">
      <c r="A828" s="28">
        <v>72</v>
      </c>
      <c r="B828" s="29" t="s">
        <v>651</v>
      </c>
      <c r="C828" s="30" t="s">
        <v>656</v>
      </c>
      <c r="D828" s="31" t="s">
        <v>13</v>
      </c>
      <c r="E828" s="32">
        <v>6.2</v>
      </c>
      <c r="F828" s="33"/>
      <c r="G828" s="33"/>
      <c r="H828" s="34" t="s">
        <v>655</v>
      </c>
    </row>
    <row r="829" spans="1:771 1026:1795 2050:2819 3074:3843 4098:4867 5122:5891 6146:6915 7170:7939 8194:8963 9218:9987 10242:11011 11266:12035 12290:13059 13314:14083 14338:15107 15362:16131" s="35" customFormat="1" x14ac:dyDescent="0.3">
      <c r="A829" s="36"/>
      <c r="B829" s="72" t="s">
        <v>652</v>
      </c>
      <c r="C829" s="38" t="s">
        <v>14</v>
      </c>
      <c r="D829" s="39"/>
      <c r="E829" s="44"/>
      <c r="F829" s="40"/>
      <c r="G829" s="41">
        <f>SUM(G830)</f>
        <v>120769800</v>
      </c>
      <c r="H829" s="42"/>
    </row>
    <row r="830" spans="1:771 1026:1795 2050:2819 3074:3843 4098:4867 5122:5891 6146:6915 7170:7939 8194:8963 9218:9987 10242:11011 11266:12035 12290:13059 13314:14083 14338:15107 15362:16131" s="35" customFormat="1" ht="62.4" x14ac:dyDescent="0.3">
      <c r="A830" s="36"/>
      <c r="B830" s="72" t="s">
        <v>653</v>
      </c>
      <c r="C830" s="48" t="s">
        <v>38</v>
      </c>
      <c r="D830" s="39" t="s">
        <v>13</v>
      </c>
      <c r="E830" s="44">
        <v>6.2</v>
      </c>
      <c r="F830" s="161">
        <v>19479000</v>
      </c>
      <c r="G830" s="40">
        <f>E830*F830</f>
        <v>120769800</v>
      </c>
      <c r="H830" s="42"/>
    </row>
    <row r="831" spans="1:771 1026:1795 2050:2819 3074:3843 4098:4867 5122:5891 6146:6915 7170:7939 8194:8963 9218:9987 10242:11011 11266:12035 12290:13059 13314:14083 14338:15107 15362:16131" s="35" customFormat="1" x14ac:dyDescent="0.3">
      <c r="A831" s="36"/>
      <c r="B831" s="72" t="s">
        <v>654</v>
      </c>
      <c r="C831" s="47" t="s">
        <v>35</v>
      </c>
      <c r="D831" s="39"/>
      <c r="E831" s="73"/>
      <c r="F831" s="40"/>
      <c r="G831" s="41">
        <f>SUM(G832)</f>
        <v>56792865.599999994</v>
      </c>
      <c r="H831" s="45"/>
    </row>
    <row r="832" spans="1:771 1026:1795 2050:2819 3074:3843 4098:4867 5122:5891 6146:6915 7170:7939 8194:8963 9218:9987 10242:11011 11266:12035 12290:13059 13314:14083 14338:15107 15362:16131" s="35" customFormat="1" ht="109.2" x14ac:dyDescent="0.3">
      <c r="A832" s="36"/>
      <c r="B832" s="50"/>
      <c r="C832" s="66" t="s">
        <v>658</v>
      </c>
      <c r="D832" s="39"/>
      <c r="E832" s="73">
        <f>(2.04*3.03)+(2.04*3.03)</f>
        <v>12.362399999999999</v>
      </c>
      <c r="F832" s="74">
        <v>4594000</v>
      </c>
      <c r="G832" s="40">
        <f>E832*F832</f>
        <v>56792865.599999994</v>
      </c>
      <c r="H832" s="45" t="s">
        <v>2430</v>
      </c>
    </row>
    <row r="833" spans="1:771 1026:1795 2050:2819 3074:3843 4098:4867 5122:5891 6146:6915 7170:7939 8194:8963 9218:9987 10242:11011 11266:12035 12290:13059 13314:14083 14338:15107 15362:16131" s="35" customFormat="1" ht="65.400000000000006" thickBot="1" x14ac:dyDescent="0.35">
      <c r="A833" s="53"/>
      <c r="B833" s="54"/>
      <c r="C833" s="55" t="s">
        <v>2331</v>
      </c>
      <c r="D833" s="56"/>
      <c r="E833" s="5"/>
      <c r="F833" s="6"/>
      <c r="G833" s="57"/>
      <c r="H833" s="58"/>
    </row>
    <row r="834" spans="1:771 1026:1795 2050:2819 3074:3843 4098:4867 5122:5891 6146:6915 7170:7939 8194:8963 9218:9987 10242:11011 11266:12035 12290:13059 13314:14083 14338:15107 15362:16131" s="59" customFormat="1" ht="31.8" thickBot="1" x14ac:dyDescent="0.35">
      <c r="A834" s="154"/>
      <c r="B834" s="155" t="s">
        <v>26</v>
      </c>
      <c r="C834" s="156"/>
      <c r="D834" s="154"/>
      <c r="E834" s="157"/>
      <c r="F834" s="158"/>
      <c r="G834" s="159">
        <f>SUM(G828:G833)/2</f>
        <v>177562665.60000002</v>
      </c>
      <c r="H834" s="160"/>
      <c r="IX834" s="35"/>
      <c r="IY834" s="35"/>
      <c r="ST834" s="35"/>
      <c r="SU834" s="35"/>
      <c r="ACP834" s="35"/>
      <c r="ACQ834" s="35"/>
      <c r="AML834" s="35"/>
      <c r="AMM834" s="35"/>
      <c r="AWH834" s="35"/>
      <c r="AWI834" s="35"/>
      <c r="BGD834" s="35"/>
      <c r="BGE834" s="35"/>
      <c r="BPZ834" s="35"/>
      <c r="BQA834" s="35"/>
      <c r="BZV834" s="35"/>
      <c r="BZW834" s="35"/>
      <c r="CJR834" s="35"/>
      <c r="CJS834" s="35"/>
      <c r="CTN834" s="35"/>
      <c r="CTO834" s="35"/>
      <c r="DDJ834" s="35"/>
      <c r="DDK834" s="35"/>
      <c r="DNF834" s="35"/>
      <c r="DNG834" s="35"/>
      <c r="DXB834" s="35"/>
      <c r="DXC834" s="35"/>
      <c r="EGX834" s="35"/>
      <c r="EGY834" s="35"/>
      <c r="EQT834" s="35"/>
      <c r="EQU834" s="35"/>
      <c r="FAP834" s="35"/>
      <c r="FAQ834" s="35"/>
      <c r="FKL834" s="35"/>
      <c r="FKM834" s="35"/>
      <c r="FUH834" s="35"/>
      <c r="FUI834" s="35"/>
      <c r="GED834" s="35"/>
      <c r="GEE834" s="35"/>
      <c r="GNZ834" s="35"/>
      <c r="GOA834" s="35"/>
      <c r="GXV834" s="35"/>
      <c r="GXW834" s="35"/>
      <c r="HHR834" s="35"/>
      <c r="HHS834" s="35"/>
      <c r="HRN834" s="35"/>
      <c r="HRO834" s="35"/>
      <c r="IBJ834" s="35"/>
      <c r="IBK834" s="35"/>
      <c r="ILF834" s="35"/>
      <c r="ILG834" s="35"/>
      <c r="IVB834" s="35"/>
      <c r="IVC834" s="35"/>
      <c r="JEX834" s="35"/>
      <c r="JEY834" s="35"/>
      <c r="JOT834" s="35"/>
      <c r="JOU834" s="35"/>
      <c r="JYP834" s="35"/>
      <c r="JYQ834" s="35"/>
      <c r="KIL834" s="35"/>
      <c r="KIM834" s="35"/>
      <c r="KSH834" s="35"/>
      <c r="KSI834" s="35"/>
      <c r="LCD834" s="35"/>
      <c r="LCE834" s="35"/>
      <c r="LLZ834" s="35"/>
      <c r="LMA834" s="35"/>
      <c r="LVV834" s="35"/>
      <c r="LVW834" s="35"/>
      <c r="MFR834" s="35"/>
      <c r="MFS834" s="35"/>
      <c r="MPN834" s="35"/>
      <c r="MPO834" s="35"/>
      <c r="MZJ834" s="35"/>
      <c r="MZK834" s="35"/>
      <c r="NJF834" s="35"/>
      <c r="NJG834" s="35"/>
      <c r="NTB834" s="35"/>
      <c r="NTC834" s="35"/>
      <c r="OCX834" s="35"/>
      <c r="OCY834" s="35"/>
      <c r="OMT834" s="35"/>
      <c r="OMU834" s="35"/>
      <c r="OWP834" s="35"/>
      <c r="OWQ834" s="35"/>
      <c r="PGL834" s="35"/>
      <c r="PGM834" s="35"/>
      <c r="PQH834" s="35"/>
      <c r="PQI834" s="35"/>
      <c r="QAD834" s="35"/>
      <c r="QAE834" s="35"/>
      <c r="QJZ834" s="35"/>
      <c r="QKA834" s="35"/>
      <c r="QTV834" s="35"/>
      <c r="QTW834" s="35"/>
      <c r="RDR834" s="35"/>
      <c r="RDS834" s="35"/>
      <c r="RNN834" s="35"/>
      <c r="RNO834" s="35"/>
      <c r="RXJ834" s="35"/>
      <c r="RXK834" s="35"/>
      <c r="SHF834" s="35"/>
      <c r="SHG834" s="35"/>
      <c r="SRB834" s="35"/>
      <c r="SRC834" s="35"/>
      <c r="TAX834" s="35"/>
      <c r="TAY834" s="35"/>
      <c r="TKT834" s="35"/>
      <c r="TKU834" s="35"/>
      <c r="TUP834" s="35"/>
      <c r="TUQ834" s="35"/>
      <c r="UEL834" s="35"/>
      <c r="UEM834" s="35"/>
      <c r="UOH834" s="35"/>
      <c r="UOI834" s="35"/>
      <c r="UYD834" s="35"/>
      <c r="UYE834" s="35"/>
      <c r="VHZ834" s="35"/>
      <c r="VIA834" s="35"/>
      <c r="VRV834" s="35"/>
      <c r="VRW834" s="35"/>
      <c r="WBR834" s="35"/>
      <c r="WBS834" s="35"/>
      <c r="WLN834" s="35"/>
      <c r="WLO834" s="35"/>
      <c r="WVJ834" s="35"/>
      <c r="WVK834" s="35"/>
    </row>
    <row r="835" spans="1:771 1026:1795 2050:2819 3074:3843 4098:4867 5122:5891 6146:6915 7170:7939 8194:8963 9218:9987 10242:11011 11266:12035 12290:13059 13314:14083 14338:15107 15362:16131" s="35" customFormat="1" ht="55.2" x14ac:dyDescent="0.3">
      <c r="A835" s="28">
        <v>73</v>
      </c>
      <c r="B835" s="29" t="s">
        <v>659</v>
      </c>
      <c r="C835" s="30" t="s">
        <v>1489</v>
      </c>
      <c r="D835" s="31" t="s">
        <v>13</v>
      </c>
      <c r="E835" s="32">
        <v>6.1</v>
      </c>
      <c r="F835" s="33"/>
      <c r="G835" s="33"/>
      <c r="H835" s="34" t="s">
        <v>1488</v>
      </c>
    </row>
    <row r="836" spans="1:771 1026:1795 2050:2819 3074:3843 4098:4867 5122:5891 6146:6915 7170:7939 8194:8963 9218:9987 10242:11011 11266:12035 12290:13059 13314:14083 14338:15107 15362:16131" s="35" customFormat="1" x14ac:dyDescent="0.3">
      <c r="A836" s="36"/>
      <c r="B836" s="72" t="s">
        <v>660</v>
      </c>
      <c r="C836" s="38" t="s">
        <v>14</v>
      </c>
      <c r="D836" s="39"/>
      <c r="E836" s="44"/>
      <c r="F836" s="40"/>
      <c r="G836" s="41">
        <f>SUM(G837)</f>
        <v>118821900</v>
      </c>
      <c r="H836" s="42"/>
    </row>
    <row r="837" spans="1:771 1026:1795 2050:2819 3074:3843 4098:4867 5122:5891 6146:6915 7170:7939 8194:8963 9218:9987 10242:11011 11266:12035 12290:13059 13314:14083 14338:15107 15362:16131" s="35" customFormat="1" ht="78" x14ac:dyDescent="0.3">
      <c r="A837" s="36"/>
      <c r="B837" s="72" t="s">
        <v>1486</v>
      </c>
      <c r="C837" s="48" t="s">
        <v>38</v>
      </c>
      <c r="D837" s="39" t="s">
        <v>13</v>
      </c>
      <c r="E837" s="44">
        <v>6.1</v>
      </c>
      <c r="F837" s="161">
        <v>19479000</v>
      </c>
      <c r="G837" s="40">
        <f>E837*F837</f>
        <v>118821900</v>
      </c>
      <c r="H837" s="42"/>
    </row>
    <row r="838" spans="1:771 1026:1795 2050:2819 3074:3843 4098:4867 5122:5891 6146:6915 7170:7939 8194:8963 9218:9987 10242:11011 11266:12035 12290:13059 13314:14083 14338:15107 15362:16131" s="35" customFormat="1" x14ac:dyDescent="0.3">
      <c r="A838" s="36"/>
      <c r="B838" s="72" t="s">
        <v>1487</v>
      </c>
      <c r="C838" s="47" t="s">
        <v>35</v>
      </c>
      <c r="D838" s="39"/>
      <c r="E838" s="73"/>
      <c r="F838" s="40"/>
      <c r="G838" s="41">
        <f>SUM(G839)</f>
        <v>30044760</v>
      </c>
      <c r="H838" s="45"/>
    </row>
    <row r="839" spans="1:771 1026:1795 2050:2819 3074:3843 4098:4867 5122:5891 6146:6915 7170:7939 8194:8963 9218:9987 10242:11011 11266:12035 12290:13059 13314:14083 14338:15107 15362:16131" s="35" customFormat="1" ht="96.6" x14ac:dyDescent="0.3">
      <c r="A839" s="36"/>
      <c r="B839" s="72"/>
      <c r="C839" s="101" t="s">
        <v>1490</v>
      </c>
      <c r="D839" s="39" t="s">
        <v>13</v>
      </c>
      <c r="E839" s="73">
        <v>6.54</v>
      </c>
      <c r="F839" s="74">
        <v>4594000</v>
      </c>
      <c r="G839" s="40">
        <f>E839*F839</f>
        <v>30044760</v>
      </c>
      <c r="H839" s="45" t="s">
        <v>2431</v>
      </c>
    </row>
    <row r="840" spans="1:771 1026:1795 2050:2819 3074:3843 4098:4867 5122:5891 6146:6915 7170:7939 8194:8963 9218:9987 10242:11011 11266:12035 12290:13059 13314:14083 14338:15107 15362:16131" s="35" customFormat="1" ht="65.400000000000006" thickBot="1" x14ac:dyDescent="0.35">
      <c r="A840" s="53"/>
      <c r="B840" s="54"/>
      <c r="C840" s="55" t="s">
        <v>2331</v>
      </c>
      <c r="D840" s="56"/>
      <c r="E840" s="5"/>
      <c r="F840" s="6"/>
      <c r="G840" s="57"/>
      <c r="H840" s="58"/>
    </row>
    <row r="841" spans="1:771 1026:1795 2050:2819 3074:3843 4098:4867 5122:5891 6146:6915 7170:7939 8194:8963 9218:9987 10242:11011 11266:12035 12290:13059 13314:14083 14338:15107 15362:16131" s="59" customFormat="1" ht="31.8" thickBot="1" x14ac:dyDescent="0.35">
      <c r="A841" s="154"/>
      <c r="B841" s="155" t="s">
        <v>26</v>
      </c>
      <c r="C841" s="156"/>
      <c r="D841" s="154"/>
      <c r="E841" s="157"/>
      <c r="F841" s="158"/>
      <c r="G841" s="159">
        <f>SUM(G835:G840)/2</f>
        <v>148866660</v>
      </c>
      <c r="H841" s="160"/>
      <c r="IX841" s="35"/>
      <c r="IY841" s="35"/>
      <c r="ST841" s="35"/>
      <c r="SU841" s="35"/>
      <c r="ACP841" s="35"/>
      <c r="ACQ841" s="35"/>
      <c r="AML841" s="35"/>
      <c r="AMM841" s="35"/>
      <c r="AWH841" s="35"/>
      <c r="AWI841" s="35"/>
      <c r="BGD841" s="35"/>
      <c r="BGE841" s="35"/>
      <c r="BPZ841" s="35"/>
      <c r="BQA841" s="35"/>
      <c r="BZV841" s="35"/>
      <c r="BZW841" s="35"/>
      <c r="CJR841" s="35"/>
      <c r="CJS841" s="35"/>
      <c r="CTN841" s="35"/>
      <c r="CTO841" s="35"/>
      <c r="DDJ841" s="35"/>
      <c r="DDK841" s="35"/>
      <c r="DNF841" s="35"/>
      <c r="DNG841" s="35"/>
      <c r="DXB841" s="35"/>
      <c r="DXC841" s="35"/>
      <c r="EGX841" s="35"/>
      <c r="EGY841" s="35"/>
      <c r="EQT841" s="35"/>
      <c r="EQU841" s="35"/>
      <c r="FAP841" s="35"/>
      <c r="FAQ841" s="35"/>
      <c r="FKL841" s="35"/>
      <c r="FKM841" s="35"/>
      <c r="FUH841" s="35"/>
      <c r="FUI841" s="35"/>
      <c r="GED841" s="35"/>
      <c r="GEE841" s="35"/>
      <c r="GNZ841" s="35"/>
      <c r="GOA841" s="35"/>
      <c r="GXV841" s="35"/>
      <c r="GXW841" s="35"/>
      <c r="HHR841" s="35"/>
      <c r="HHS841" s="35"/>
      <c r="HRN841" s="35"/>
      <c r="HRO841" s="35"/>
      <c r="IBJ841" s="35"/>
      <c r="IBK841" s="35"/>
      <c r="ILF841" s="35"/>
      <c r="ILG841" s="35"/>
      <c r="IVB841" s="35"/>
      <c r="IVC841" s="35"/>
      <c r="JEX841" s="35"/>
      <c r="JEY841" s="35"/>
      <c r="JOT841" s="35"/>
      <c r="JOU841" s="35"/>
      <c r="JYP841" s="35"/>
      <c r="JYQ841" s="35"/>
      <c r="KIL841" s="35"/>
      <c r="KIM841" s="35"/>
      <c r="KSH841" s="35"/>
      <c r="KSI841" s="35"/>
      <c r="LCD841" s="35"/>
      <c r="LCE841" s="35"/>
      <c r="LLZ841" s="35"/>
      <c r="LMA841" s="35"/>
      <c r="LVV841" s="35"/>
      <c r="LVW841" s="35"/>
      <c r="MFR841" s="35"/>
      <c r="MFS841" s="35"/>
      <c r="MPN841" s="35"/>
      <c r="MPO841" s="35"/>
      <c r="MZJ841" s="35"/>
      <c r="MZK841" s="35"/>
      <c r="NJF841" s="35"/>
      <c r="NJG841" s="35"/>
      <c r="NTB841" s="35"/>
      <c r="NTC841" s="35"/>
      <c r="OCX841" s="35"/>
      <c r="OCY841" s="35"/>
      <c r="OMT841" s="35"/>
      <c r="OMU841" s="35"/>
      <c r="OWP841" s="35"/>
      <c r="OWQ841" s="35"/>
      <c r="PGL841" s="35"/>
      <c r="PGM841" s="35"/>
      <c r="PQH841" s="35"/>
      <c r="PQI841" s="35"/>
      <c r="QAD841" s="35"/>
      <c r="QAE841" s="35"/>
      <c r="QJZ841" s="35"/>
      <c r="QKA841" s="35"/>
      <c r="QTV841" s="35"/>
      <c r="QTW841" s="35"/>
      <c r="RDR841" s="35"/>
      <c r="RDS841" s="35"/>
      <c r="RNN841" s="35"/>
      <c r="RNO841" s="35"/>
      <c r="RXJ841" s="35"/>
      <c r="RXK841" s="35"/>
      <c r="SHF841" s="35"/>
      <c r="SHG841" s="35"/>
      <c r="SRB841" s="35"/>
      <c r="SRC841" s="35"/>
      <c r="TAX841" s="35"/>
      <c r="TAY841" s="35"/>
      <c r="TKT841" s="35"/>
      <c r="TKU841" s="35"/>
      <c r="TUP841" s="35"/>
      <c r="TUQ841" s="35"/>
      <c r="UEL841" s="35"/>
      <c r="UEM841" s="35"/>
      <c r="UOH841" s="35"/>
      <c r="UOI841" s="35"/>
      <c r="UYD841" s="35"/>
      <c r="UYE841" s="35"/>
      <c r="VHZ841" s="35"/>
      <c r="VIA841" s="35"/>
      <c r="VRV841" s="35"/>
      <c r="VRW841" s="35"/>
      <c r="WBR841" s="35"/>
      <c r="WBS841" s="35"/>
      <c r="WLN841" s="35"/>
      <c r="WLO841" s="35"/>
      <c r="WVJ841" s="35"/>
      <c r="WVK841" s="35"/>
    </row>
    <row r="842" spans="1:771 1026:1795 2050:2819 3074:3843 4098:4867 5122:5891 6146:6915 7170:7939 8194:8963 9218:9987 10242:11011 11266:12035 12290:13059 13314:14083 14338:15107 15362:16131" s="35" customFormat="1" ht="69" x14ac:dyDescent="0.3">
      <c r="A842" s="28">
        <v>74</v>
      </c>
      <c r="B842" s="29" t="s">
        <v>661</v>
      </c>
      <c r="C842" s="30" t="s">
        <v>2135</v>
      </c>
      <c r="D842" s="31" t="s">
        <v>13</v>
      </c>
      <c r="E842" s="32">
        <v>16.2</v>
      </c>
      <c r="F842" s="33"/>
      <c r="G842" s="33"/>
      <c r="H842" s="34" t="s">
        <v>665</v>
      </c>
    </row>
    <row r="843" spans="1:771 1026:1795 2050:2819 3074:3843 4098:4867 5122:5891 6146:6915 7170:7939 8194:8963 9218:9987 10242:11011 11266:12035 12290:13059 13314:14083 14338:15107 15362:16131" s="35" customFormat="1" x14ac:dyDescent="0.3">
      <c r="A843" s="36"/>
      <c r="B843" s="72" t="s">
        <v>662</v>
      </c>
      <c r="C843" s="38" t="s">
        <v>14</v>
      </c>
      <c r="D843" s="39"/>
      <c r="E843" s="44"/>
      <c r="F843" s="40"/>
      <c r="G843" s="41">
        <f>SUM(G844)</f>
        <v>168544800</v>
      </c>
      <c r="H843" s="42"/>
    </row>
    <row r="844" spans="1:771 1026:1795 2050:2819 3074:3843 4098:4867 5122:5891 6146:6915 7170:7939 8194:8963 9218:9987 10242:11011 11266:12035 12290:13059 13314:14083 14338:15107 15362:16131" s="35" customFormat="1" ht="62.4" x14ac:dyDescent="0.3">
      <c r="A844" s="36"/>
      <c r="B844" s="72" t="s">
        <v>663</v>
      </c>
      <c r="C844" s="43" t="s">
        <v>55</v>
      </c>
      <c r="D844" s="39" t="s">
        <v>13</v>
      </c>
      <c r="E844" s="73">
        <v>16.2</v>
      </c>
      <c r="F844" s="153">
        <v>10404000</v>
      </c>
      <c r="G844" s="40">
        <f>E844*F844</f>
        <v>168544800</v>
      </c>
      <c r="H844" s="42"/>
    </row>
    <row r="845" spans="1:771 1026:1795 2050:2819 3074:3843 4098:4867 5122:5891 6146:6915 7170:7939 8194:8963 9218:9987 10242:11011 11266:12035 12290:13059 13314:14083 14338:15107 15362:16131" s="35" customFormat="1" x14ac:dyDescent="0.3">
      <c r="A845" s="36"/>
      <c r="B845" s="72" t="s">
        <v>664</v>
      </c>
      <c r="C845" s="51" t="s">
        <v>23</v>
      </c>
      <c r="D845" s="39"/>
      <c r="E845" s="1"/>
      <c r="F845" s="2"/>
      <c r="G845" s="41">
        <f>SUM(G846)</f>
        <v>3060000</v>
      </c>
      <c r="H845" s="52"/>
    </row>
    <row r="846" spans="1:771 1026:1795 2050:2819 3074:3843 4098:4867 5122:5891 6146:6915 7170:7939 8194:8963 9218:9987 10242:11011 11266:12035 12290:13059 13314:14083 14338:15107 15362:16131" s="35" customFormat="1" x14ac:dyDescent="0.3">
      <c r="A846" s="36"/>
      <c r="B846" s="46"/>
      <c r="C846" s="50" t="s">
        <v>24</v>
      </c>
      <c r="D846" s="39" t="s">
        <v>25</v>
      </c>
      <c r="E846" s="1">
        <f>1*30*6</f>
        <v>180</v>
      </c>
      <c r="F846" s="2">
        <v>17000</v>
      </c>
      <c r="G846" s="40">
        <f>E846*F846</f>
        <v>3060000</v>
      </c>
      <c r="H846" s="42"/>
    </row>
    <row r="847" spans="1:771 1026:1795 2050:2819 3074:3843 4098:4867 5122:5891 6146:6915 7170:7939 8194:8963 9218:9987 10242:11011 11266:12035 12290:13059 13314:14083 14338:15107 15362:16131" s="35" customFormat="1" ht="65.400000000000006" thickBot="1" x14ac:dyDescent="0.35">
      <c r="A847" s="53"/>
      <c r="B847" s="54"/>
      <c r="C847" s="55" t="s">
        <v>2331</v>
      </c>
      <c r="D847" s="56"/>
      <c r="E847" s="5"/>
      <c r="F847" s="6"/>
      <c r="G847" s="57"/>
      <c r="H847" s="58"/>
    </row>
    <row r="848" spans="1:771 1026:1795 2050:2819 3074:3843 4098:4867 5122:5891 6146:6915 7170:7939 8194:8963 9218:9987 10242:11011 11266:12035 12290:13059 13314:14083 14338:15107 15362:16131" s="59" customFormat="1" ht="31.8" thickBot="1" x14ac:dyDescent="0.35">
      <c r="A848" s="154"/>
      <c r="B848" s="155" t="s">
        <v>26</v>
      </c>
      <c r="C848" s="156"/>
      <c r="D848" s="154"/>
      <c r="E848" s="157"/>
      <c r="F848" s="158"/>
      <c r="G848" s="159">
        <f>SUM(G842:G847)/2</f>
        <v>171604800</v>
      </c>
      <c r="H848" s="160"/>
      <c r="IX848" s="35"/>
      <c r="IY848" s="35"/>
      <c r="ST848" s="35"/>
      <c r="SU848" s="35"/>
      <c r="ACP848" s="35"/>
      <c r="ACQ848" s="35"/>
      <c r="AML848" s="35"/>
      <c r="AMM848" s="35"/>
      <c r="AWH848" s="35"/>
      <c r="AWI848" s="35"/>
      <c r="BGD848" s="35"/>
      <c r="BGE848" s="35"/>
      <c r="BPZ848" s="35"/>
      <c r="BQA848" s="35"/>
      <c r="BZV848" s="35"/>
      <c r="BZW848" s="35"/>
      <c r="CJR848" s="35"/>
      <c r="CJS848" s="35"/>
      <c r="CTN848" s="35"/>
      <c r="CTO848" s="35"/>
      <c r="DDJ848" s="35"/>
      <c r="DDK848" s="35"/>
      <c r="DNF848" s="35"/>
      <c r="DNG848" s="35"/>
      <c r="DXB848" s="35"/>
      <c r="DXC848" s="35"/>
      <c r="EGX848" s="35"/>
      <c r="EGY848" s="35"/>
      <c r="EQT848" s="35"/>
      <c r="EQU848" s="35"/>
      <c r="FAP848" s="35"/>
      <c r="FAQ848" s="35"/>
      <c r="FKL848" s="35"/>
      <c r="FKM848" s="35"/>
      <c r="FUH848" s="35"/>
      <c r="FUI848" s="35"/>
      <c r="GED848" s="35"/>
      <c r="GEE848" s="35"/>
      <c r="GNZ848" s="35"/>
      <c r="GOA848" s="35"/>
      <c r="GXV848" s="35"/>
      <c r="GXW848" s="35"/>
      <c r="HHR848" s="35"/>
      <c r="HHS848" s="35"/>
      <c r="HRN848" s="35"/>
      <c r="HRO848" s="35"/>
      <c r="IBJ848" s="35"/>
      <c r="IBK848" s="35"/>
      <c r="ILF848" s="35"/>
      <c r="ILG848" s="35"/>
      <c r="IVB848" s="35"/>
      <c r="IVC848" s="35"/>
      <c r="JEX848" s="35"/>
      <c r="JEY848" s="35"/>
      <c r="JOT848" s="35"/>
      <c r="JOU848" s="35"/>
      <c r="JYP848" s="35"/>
      <c r="JYQ848" s="35"/>
      <c r="KIL848" s="35"/>
      <c r="KIM848" s="35"/>
      <c r="KSH848" s="35"/>
      <c r="KSI848" s="35"/>
      <c r="LCD848" s="35"/>
      <c r="LCE848" s="35"/>
      <c r="LLZ848" s="35"/>
      <c r="LMA848" s="35"/>
      <c r="LVV848" s="35"/>
      <c r="LVW848" s="35"/>
      <c r="MFR848" s="35"/>
      <c r="MFS848" s="35"/>
      <c r="MPN848" s="35"/>
      <c r="MPO848" s="35"/>
      <c r="MZJ848" s="35"/>
      <c r="MZK848" s="35"/>
      <c r="NJF848" s="35"/>
      <c r="NJG848" s="35"/>
      <c r="NTB848" s="35"/>
      <c r="NTC848" s="35"/>
      <c r="OCX848" s="35"/>
      <c r="OCY848" s="35"/>
      <c r="OMT848" s="35"/>
      <c r="OMU848" s="35"/>
      <c r="OWP848" s="35"/>
      <c r="OWQ848" s="35"/>
      <c r="PGL848" s="35"/>
      <c r="PGM848" s="35"/>
      <c r="PQH848" s="35"/>
      <c r="PQI848" s="35"/>
      <c r="QAD848" s="35"/>
      <c r="QAE848" s="35"/>
      <c r="QJZ848" s="35"/>
      <c r="QKA848" s="35"/>
      <c r="QTV848" s="35"/>
      <c r="QTW848" s="35"/>
      <c r="RDR848" s="35"/>
      <c r="RDS848" s="35"/>
      <c r="RNN848" s="35"/>
      <c r="RNO848" s="35"/>
      <c r="RXJ848" s="35"/>
      <c r="RXK848" s="35"/>
      <c r="SHF848" s="35"/>
      <c r="SHG848" s="35"/>
      <c r="SRB848" s="35"/>
      <c r="SRC848" s="35"/>
      <c r="TAX848" s="35"/>
      <c r="TAY848" s="35"/>
      <c r="TKT848" s="35"/>
      <c r="TKU848" s="35"/>
      <c r="TUP848" s="35"/>
      <c r="TUQ848" s="35"/>
      <c r="UEL848" s="35"/>
      <c r="UEM848" s="35"/>
      <c r="UOH848" s="35"/>
      <c r="UOI848" s="35"/>
      <c r="UYD848" s="35"/>
      <c r="UYE848" s="35"/>
      <c r="VHZ848" s="35"/>
      <c r="VIA848" s="35"/>
      <c r="VRV848" s="35"/>
      <c r="VRW848" s="35"/>
      <c r="WBR848" s="35"/>
      <c r="WBS848" s="35"/>
      <c r="WLN848" s="35"/>
      <c r="WLO848" s="35"/>
      <c r="WVJ848" s="35"/>
      <c r="WVK848" s="35"/>
    </row>
    <row r="849" spans="1:771 1026:1795 2050:2819 3074:3843 4098:4867 5122:5891 6146:6915 7170:7939 8194:8963 9218:9987 10242:11011 11266:12035 12290:13059 13314:14083 14338:15107 15362:16131" s="35" customFormat="1" ht="69" x14ac:dyDescent="0.3">
      <c r="A849" s="28">
        <v>75</v>
      </c>
      <c r="B849" s="29" t="s">
        <v>666</v>
      </c>
      <c r="C849" s="30" t="s">
        <v>671</v>
      </c>
      <c r="D849" s="31" t="s">
        <v>13</v>
      </c>
      <c r="E849" s="32">
        <v>10.6</v>
      </c>
      <c r="F849" s="33"/>
      <c r="G849" s="33"/>
      <c r="H849" s="34" t="s">
        <v>670</v>
      </c>
    </row>
    <row r="850" spans="1:771 1026:1795 2050:2819 3074:3843 4098:4867 5122:5891 6146:6915 7170:7939 8194:8963 9218:9987 10242:11011 11266:12035 12290:13059 13314:14083 14338:15107 15362:16131" s="35" customFormat="1" x14ac:dyDescent="0.3">
      <c r="A850" s="36"/>
      <c r="B850" s="72" t="s">
        <v>667</v>
      </c>
      <c r="C850" s="38" t="s">
        <v>14</v>
      </c>
      <c r="D850" s="39"/>
      <c r="E850" s="44"/>
      <c r="F850" s="40"/>
      <c r="G850" s="41">
        <f>SUM(G851)</f>
        <v>206477400</v>
      </c>
      <c r="H850" s="42"/>
    </row>
    <row r="851" spans="1:771 1026:1795 2050:2819 3074:3843 4098:4867 5122:5891 6146:6915 7170:7939 8194:8963 9218:9987 10242:11011 11266:12035 12290:13059 13314:14083 14338:15107 15362:16131" s="35" customFormat="1" ht="62.4" x14ac:dyDescent="0.3">
      <c r="A851" s="36"/>
      <c r="B851" s="72" t="s">
        <v>668</v>
      </c>
      <c r="C851" s="48" t="s">
        <v>38</v>
      </c>
      <c r="D851" s="39" t="s">
        <v>13</v>
      </c>
      <c r="E851" s="44">
        <v>10.6</v>
      </c>
      <c r="F851" s="161">
        <v>19479000</v>
      </c>
      <c r="G851" s="40">
        <f>E851*F851</f>
        <v>206477400</v>
      </c>
      <c r="H851" s="42"/>
    </row>
    <row r="852" spans="1:771 1026:1795 2050:2819 3074:3843 4098:4867 5122:5891 6146:6915 7170:7939 8194:8963 9218:9987 10242:11011 11266:12035 12290:13059 13314:14083 14338:15107 15362:16131" s="35" customFormat="1" x14ac:dyDescent="0.3">
      <c r="A852" s="36"/>
      <c r="B852" s="72" t="s">
        <v>669</v>
      </c>
      <c r="C852" s="47" t="s">
        <v>35</v>
      </c>
      <c r="D852" s="39"/>
      <c r="E852" s="73"/>
      <c r="F852" s="40"/>
      <c r="G852" s="41">
        <f>SUM(G853)</f>
        <v>35920000</v>
      </c>
      <c r="H852" s="45"/>
    </row>
    <row r="853" spans="1:771 1026:1795 2050:2819 3074:3843 4098:4867 5122:5891 6146:6915 7170:7939 8194:8963 9218:9987 10242:11011 11266:12035 12290:13059 13314:14083 14338:15107 15362:16131" s="35" customFormat="1" ht="93.6" x14ac:dyDescent="0.3">
      <c r="A853" s="36"/>
      <c r="B853" s="50"/>
      <c r="C853" s="66" t="s">
        <v>672</v>
      </c>
      <c r="D853" s="39" t="s">
        <v>234</v>
      </c>
      <c r="E853" s="73">
        <v>10</v>
      </c>
      <c r="F853" s="74">
        <v>3592000</v>
      </c>
      <c r="G853" s="40">
        <f>E853*F853</f>
        <v>35920000</v>
      </c>
      <c r="H853" s="45" t="s">
        <v>2432</v>
      </c>
    </row>
    <row r="854" spans="1:771 1026:1795 2050:2819 3074:3843 4098:4867 5122:5891 6146:6915 7170:7939 8194:8963 9218:9987 10242:11011 11266:12035 12290:13059 13314:14083 14338:15107 15362:16131" s="35" customFormat="1" ht="65.400000000000006" thickBot="1" x14ac:dyDescent="0.35">
      <c r="A854" s="53"/>
      <c r="B854" s="54"/>
      <c r="C854" s="55" t="s">
        <v>2331</v>
      </c>
      <c r="D854" s="56"/>
      <c r="E854" s="5"/>
      <c r="F854" s="6"/>
      <c r="G854" s="57"/>
      <c r="H854" s="58"/>
    </row>
    <row r="855" spans="1:771 1026:1795 2050:2819 3074:3843 4098:4867 5122:5891 6146:6915 7170:7939 8194:8963 9218:9987 10242:11011 11266:12035 12290:13059 13314:14083 14338:15107 15362:16131" s="59" customFormat="1" ht="31.8" thickBot="1" x14ac:dyDescent="0.35">
      <c r="A855" s="154"/>
      <c r="B855" s="155" t="s">
        <v>26</v>
      </c>
      <c r="C855" s="156"/>
      <c r="D855" s="154"/>
      <c r="E855" s="157"/>
      <c r="F855" s="158"/>
      <c r="G855" s="159">
        <f>SUM(G849:G854)/2</f>
        <v>242397400</v>
      </c>
      <c r="H855" s="160"/>
      <c r="IX855" s="35"/>
      <c r="IY855" s="35"/>
      <c r="ST855" s="35"/>
      <c r="SU855" s="35"/>
      <c r="ACP855" s="35"/>
      <c r="ACQ855" s="35"/>
      <c r="AML855" s="35"/>
      <c r="AMM855" s="35"/>
      <c r="AWH855" s="35"/>
      <c r="AWI855" s="35"/>
      <c r="BGD855" s="35"/>
      <c r="BGE855" s="35"/>
      <c r="BPZ855" s="35"/>
      <c r="BQA855" s="35"/>
      <c r="BZV855" s="35"/>
      <c r="BZW855" s="35"/>
      <c r="CJR855" s="35"/>
      <c r="CJS855" s="35"/>
      <c r="CTN855" s="35"/>
      <c r="CTO855" s="35"/>
      <c r="DDJ855" s="35"/>
      <c r="DDK855" s="35"/>
      <c r="DNF855" s="35"/>
      <c r="DNG855" s="35"/>
      <c r="DXB855" s="35"/>
      <c r="DXC855" s="35"/>
      <c r="EGX855" s="35"/>
      <c r="EGY855" s="35"/>
      <c r="EQT855" s="35"/>
      <c r="EQU855" s="35"/>
      <c r="FAP855" s="35"/>
      <c r="FAQ855" s="35"/>
      <c r="FKL855" s="35"/>
      <c r="FKM855" s="35"/>
      <c r="FUH855" s="35"/>
      <c r="FUI855" s="35"/>
      <c r="GED855" s="35"/>
      <c r="GEE855" s="35"/>
      <c r="GNZ855" s="35"/>
      <c r="GOA855" s="35"/>
      <c r="GXV855" s="35"/>
      <c r="GXW855" s="35"/>
      <c r="HHR855" s="35"/>
      <c r="HHS855" s="35"/>
      <c r="HRN855" s="35"/>
      <c r="HRO855" s="35"/>
      <c r="IBJ855" s="35"/>
      <c r="IBK855" s="35"/>
      <c r="ILF855" s="35"/>
      <c r="ILG855" s="35"/>
      <c r="IVB855" s="35"/>
      <c r="IVC855" s="35"/>
      <c r="JEX855" s="35"/>
      <c r="JEY855" s="35"/>
      <c r="JOT855" s="35"/>
      <c r="JOU855" s="35"/>
      <c r="JYP855" s="35"/>
      <c r="JYQ855" s="35"/>
      <c r="KIL855" s="35"/>
      <c r="KIM855" s="35"/>
      <c r="KSH855" s="35"/>
      <c r="KSI855" s="35"/>
      <c r="LCD855" s="35"/>
      <c r="LCE855" s="35"/>
      <c r="LLZ855" s="35"/>
      <c r="LMA855" s="35"/>
      <c r="LVV855" s="35"/>
      <c r="LVW855" s="35"/>
      <c r="MFR855" s="35"/>
      <c r="MFS855" s="35"/>
      <c r="MPN855" s="35"/>
      <c r="MPO855" s="35"/>
      <c r="MZJ855" s="35"/>
      <c r="MZK855" s="35"/>
      <c r="NJF855" s="35"/>
      <c r="NJG855" s="35"/>
      <c r="NTB855" s="35"/>
      <c r="NTC855" s="35"/>
      <c r="OCX855" s="35"/>
      <c r="OCY855" s="35"/>
      <c r="OMT855" s="35"/>
      <c r="OMU855" s="35"/>
      <c r="OWP855" s="35"/>
      <c r="OWQ855" s="35"/>
      <c r="PGL855" s="35"/>
      <c r="PGM855" s="35"/>
      <c r="PQH855" s="35"/>
      <c r="PQI855" s="35"/>
      <c r="QAD855" s="35"/>
      <c r="QAE855" s="35"/>
      <c r="QJZ855" s="35"/>
      <c r="QKA855" s="35"/>
      <c r="QTV855" s="35"/>
      <c r="QTW855" s="35"/>
      <c r="RDR855" s="35"/>
      <c r="RDS855" s="35"/>
      <c r="RNN855" s="35"/>
      <c r="RNO855" s="35"/>
      <c r="RXJ855" s="35"/>
      <c r="RXK855" s="35"/>
      <c r="SHF855" s="35"/>
      <c r="SHG855" s="35"/>
      <c r="SRB855" s="35"/>
      <c r="SRC855" s="35"/>
      <c r="TAX855" s="35"/>
      <c r="TAY855" s="35"/>
      <c r="TKT855" s="35"/>
      <c r="TKU855" s="35"/>
      <c r="TUP855" s="35"/>
      <c r="TUQ855" s="35"/>
      <c r="UEL855" s="35"/>
      <c r="UEM855" s="35"/>
      <c r="UOH855" s="35"/>
      <c r="UOI855" s="35"/>
      <c r="UYD855" s="35"/>
      <c r="UYE855" s="35"/>
      <c r="VHZ855" s="35"/>
      <c r="VIA855" s="35"/>
      <c r="VRV855" s="35"/>
      <c r="VRW855" s="35"/>
      <c r="WBR855" s="35"/>
      <c r="WBS855" s="35"/>
      <c r="WLN855" s="35"/>
      <c r="WLO855" s="35"/>
      <c r="WVJ855" s="35"/>
      <c r="WVK855" s="35"/>
    </row>
    <row r="856" spans="1:771 1026:1795 2050:2819 3074:3843 4098:4867 5122:5891 6146:6915 7170:7939 8194:8963 9218:9987 10242:11011 11266:12035 12290:13059 13314:14083 14338:15107 15362:16131" s="35" customFormat="1" ht="69" x14ac:dyDescent="0.3">
      <c r="A856" s="28">
        <v>76</v>
      </c>
      <c r="B856" s="29" t="s">
        <v>673</v>
      </c>
      <c r="C856" s="30" t="s">
        <v>677</v>
      </c>
      <c r="D856" s="31" t="s">
        <v>13</v>
      </c>
      <c r="E856" s="32">
        <v>8</v>
      </c>
      <c r="F856" s="33"/>
      <c r="G856" s="33"/>
      <c r="H856" s="34" t="s">
        <v>678</v>
      </c>
    </row>
    <row r="857" spans="1:771 1026:1795 2050:2819 3074:3843 4098:4867 5122:5891 6146:6915 7170:7939 8194:8963 9218:9987 10242:11011 11266:12035 12290:13059 13314:14083 14338:15107 15362:16131" s="35" customFormat="1" x14ac:dyDescent="0.3">
      <c r="A857" s="36"/>
      <c r="B857" s="72" t="s">
        <v>675</v>
      </c>
      <c r="C857" s="38" t="s">
        <v>14</v>
      </c>
      <c r="D857" s="39"/>
      <c r="E857" s="44"/>
      <c r="F857" s="40"/>
      <c r="G857" s="41">
        <f>SUM(G858)</f>
        <v>155832000</v>
      </c>
      <c r="H857" s="42"/>
    </row>
    <row r="858" spans="1:771 1026:1795 2050:2819 3074:3843 4098:4867 5122:5891 6146:6915 7170:7939 8194:8963 9218:9987 10242:11011 11266:12035 12290:13059 13314:14083 14338:15107 15362:16131" s="35" customFormat="1" ht="78" x14ac:dyDescent="0.3">
      <c r="A858" s="36"/>
      <c r="B858" s="72" t="s">
        <v>674</v>
      </c>
      <c r="C858" s="48" t="s">
        <v>38</v>
      </c>
      <c r="D858" s="39" t="s">
        <v>13</v>
      </c>
      <c r="E858" s="44">
        <v>8</v>
      </c>
      <c r="F858" s="161">
        <v>19479000</v>
      </c>
      <c r="G858" s="40">
        <f>E858*F858</f>
        <v>155832000</v>
      </c>
      <c r="H858" s="42"/>
    </row>
    <row r="859" spans="1:771 1026:1795 2050:2819 3074:3843 4098:4867 5122:5891 6146:6915 7170:7939 8194:8963 9218:9987 10242:11011 11266:12035 12290:13059 13314:14083 14338:15107 15362:16131" s="35" customFormat="1" x14ac:dyDescent="0.3">
      <c r="A859" s="36"/>
      <c r="B859" s="72" t="s">
        <v>676</v>
      </c>
      <c r="C859" s="47" t="s">
        <v>35</v>
      </c>
      <c r="D859" s="39"/>
      <c r="E859" s="73"/>
      <c r="F859" s="40"/>
      <c r="G859" s="41">
        <f>SUM(G860:G863)</f>
        <v>18532800</v>
      </c>
      <c r="H859" s="45"/>
    </row>
    <row r="860" spans="1:771 1026:1795 2050:2819 3074:3843 4098:4867 5122:5891 6146:6915 7170:7939 8194:8963 9218:9987 10242:11011 11266:12035 12290:13059 13314:14083 14338:15107 15362:16131" s="35" customFormat="1" ht="93.6" x14ac:dyDescent="0.3">
      <c r="A860" s="36"/>
      <c r="B860" s="50"/>
      <c r="C860" s="66" t="s">
        <v>679</v>
      </c>
      <c r="D860" s="39" t="s">
        <v>234</v>
      </c>
      <c r="E860" s="73">
        <v>4.4000000000000004</v>
      </c>
      <c r="F860" s="74">
        <v>3592000</v>
      </c>
      <c r="G860" s="40">
        <f>E860*F860</f>
        <v>15804800.000000002</v>
      </c>
      <c r="H860" s="45" t="s">
        <v>2433</v>
      </c>
    </row>
    <row r="861" spans="1:771 1026:1795 2050:2819 3074:3843 4098:4867 5122:5891 6146:6915 7170:7939 8194:8963 9218:9987 10242:11011 11266:12035 12290:13059 13314:14083 14338:15107 15362:16131" s="35" customFormat="1" ht="31.2" x14ac:dyDescent="0.3">
      <c r="A861" s="36"/>
      <c r="B861" s="50"/>
      <c r="C861" s="66" t="s">
        <v>680</v>
      </c>
      <c r="D861" s="39" t="s">
        <v>234</v>
      </c>
      <c r="E861" s="73">
        <v>4.4000000000000004</v>
      </c>
      <c r="F861" s="74">
        <v>540000</v>
      </c>
      <c r="G861" s="40">
        <f>E861*F861</f>
        <v>2376000</v>
      </c>
      <c r="H861" s="45" t="s">
        <v>2375</v>
      </c>
    </row>
    <row r="862" spans="1:771 1026:1795 2050:2819 3074:3843 4098:4867 5122:5891 6146:6915 7170:7939 8194:8963 9218:9987 10242:11011 11266:12035 12290:13059 13314:14083 14338:15107 15362:16131" s="35" customFormat="1" ht="31.2" x14ac:dyDescent="0.3">
      <c r="A862" s="36"/>
      <c r="B862" s="50"/>
      <c r="C862" s="66" t="s">
        <v>681</v>
      </c>
      <c r="D862" s="39" t="s">
        <v>234</v>
      </c>
      <c r="E862" s="73">
        <v>3.52</v>
      </c>
      <c r="F862" s="74">
        <v>100000</v>
      </c>
      <c r="G862" s="40">
        <f>E862*F862</f>
        <v>352000</v>
      </c>
      <c r="H862" s="45"/>
    </row>
    <row r="863" spans="1:771 1026:1795 2050:2819 3074:3843 4098:4867 5122:5891 6146:6915 7170:7939 8194:8963 9218:9987 10242:11011 11266:12035 12290:13059 13314:14083 14338:15107 15362:16131" s="35" customFormat="1" x14ac:dyDescent="0.3">
      <c r="A863" s="36"/>
      <c r="B863" s="50"/>
      <c r="C863" s="66" t="s">
        <v>105</v>
      </c>
      <c r="D863" s="39" t="s">
        <v>106</v>
      </c>
      <c r="E863" s="73">
        <v>1</v>
      </c>
      <c r="F863" s="74"/>
      <c r="G863" s="40">
        <f>E863*F863</f>
        <v>0</v>
      </c>
      <c r="H863" s="52" t="s">
        <v>2353</v>
      </c>
    </row>
    <row r="864" spans="1:771 1026:1795 2050:2819 3074:3843 4098:4867 5122:5891 6146:6915 7170:7939 8194:8963 9218:9987 10242:11011 11266:12035 12290:13059 13314:14083 14338:15107 15362:16131" s="35" customFormat="1" ht="65.400000000000006" thickBot="1" x14ac:dyDescent="0.35">
      <c r="A864" s="53"/>
      <c r="B864" s="54"/>
      <c r="C864" s="55" t="s">
        <v>2331</v>
      </c>
      <c r="D864" s="56"/>
      <c r="E864" s="5"/>
      <c r="F864" s="6"/>
      <c r="G864" s="57"/>
      <c r="H864" s="58"/>
    </row>
    <row r="865" spans="1:771 1026:1795 2050:2819 3074:3843 4098:4867 5122:5891 6146:6915 7170:7939 8194:8963 9218:9987 10242:11011 11266:12035 12290:13059 13314:14083 14338:15107 15362:16131" s="59" customFormat="1" ht="31.8" thickBot="1" x14ac:dyDescent="0.35">
      <c r="A865" s="154"/>
      <c r="B865" s="155" t="s">
        <v>26</v>
      </c>
      <c r="C865" s="156"/>
      <c r="D865" s="154"/>
      <c r="E865" s="157"/>
      <c r="F865" s="158"/>
      <c r="G865" s="159">
        <f>SUM(G856:G864)/2</f>
        <v>174364800</v>
      </c>
      <c r="H865" s="160"/>
      <c r="IX865" s="35"/>
      <c r="IY865" s="35"/>
      <c r="ST865" s="35"/>
      <c r="SU865" s="35"/>
      <c r="ACP865" s="35"/>
      <c r="ACQ865" s="35"/>
      <c r="AML865" s="35"/>
      <c r="AMM865" s="35"/>
      <c r="AWH865" s="35"/>
      <c r="AWI865" s="35"/>
      <c r="BGD865" s="35"/>
      <c r="BGE865" s="35"/>
      <c r="BPZ865" s="35"/>
      <c r="BQA865" s="35"/>
      <c r="BZV865" s="35"/>
      <c r="BZW865" s="35"/>
      <c r="CJR865" s="35"/>
      <c r="CJS865" s="35"/>
      <c r="CTN865" s="35"/>
      <c r="CTO865" s="35"/>
      <c r="DDJ865" s="35"/>
      <c r="DDK865" s="35"/>
      <c r="DNF865" s="35"/>
      <c r="DNG865" s="35"/>
      <c r="DXB865" s="35"/>
      <c r="DXC865" s="35"/>
      <c r="EGX865" s="35"/>
      <c r="EGY865" s="35"/>
      <c r="EQT865" s="35"/>
      <c r="EQU865" s="35"/>
      <c r="FAP865" s="35"/>
      <c r="FAQ865" s="35"/>
      <c r="FKL865" s="35"/>
      <c r="FKM865" s="35"/>
      <c r="FUH865" s="35"/>
      <c r="FUI865" s="35"/>
      <c r="GED865" s="35"/>
      <c r="GEE865" s="35"/>
      <c r="GNZ865" s="35"/>
      <c r="GOA865" s="35"/>
      <c r="GXV865" s="35"/>
      <c r="GXW865" s="35"/>
      <c r="HHR865" s="35"/>
      <c r="HHS865" s="35"/>
      <c r="HRN865" s="35"/>
      <c r="HRO865" s="35"/>
      <c r="IBJ865" s="35"/>
      <c r="IBK865" s="35"/>
      <c r="ILF865" s="35"/>
      <c r="ILG865" s="35"/>
      <c r="IVB865" s="35"/>
      <c r="IVC865" s="35"/>
      <c r="JEX865" s="35"/>
      <c r="JEY865" s="35"/>
      <c r="JOT865" s="35"/>
      <c r="JOU865" s="35"/>
      <c r="JYP865" s="35"/>
      <c r="JYQ865" s="35"/>
      <c r="KIL865" s="35"/>
      <c r="KIM865" s="35"/>
      <c r="KSH865" s="35"/>
      <c r="KSI865" s="35"/>
      <c r="LCD865" s="35"/>
      <c r="LCE865" s="35"/>
      <c r="LLZ865" s="35"/>
      <c r="LMA865" s="35"/>
      <c r="LVV865" s="35"/>
      <c r="LVW865" s="35"/>
      <c r="MFR865" s="35"/>
      <c r="MFS865" s="35"/>
      <c r="MPN865" s="35"/>
      <c r="MPO865" s="35"/>
      <c r="MZJ865" s="35"/>
      <c r="MZK865" s="35"/>
      <c r="NJF865" s="35"/>
      <c r="NJG865" s="35"/>
      <c r="NTB865" s="35"/>
      <c r="NTC865" s="35"/>
      <c r="OCX865" s="35"/>
      <c r="OCY865" s="35"/>
      <c r="OMT865" s="35"/>
      <c r="OMU865" s="35"/>
      <c r="OWP865" s="35"/>
      <c r="OWQ865" s="35"/>
      <c r="PGL865" s="35"/>
      <c r="PGM865" s="35"/>
      <c r="PQH865" s="35"/>
      <c r="PQI865" s="35"/>
      <c r="QAD865" s="35"/>
      <c r="QAE865" s="35"/>
      <c r="QJZ865" s="35"/>
      <c r="QKA865" s="35"/>
      <c r="QTV865" s="35"/>
      <c r="QTW865" s="35"/>
      <c r="RDR865" s="35"/>
      <c r="RDS865" s="35"/>
      <c r="RNN865" s="35"/>
      <c r="RNO865" s="35"/>
      <c r="RXJ865" s="35"/>
      <c r="RXK865" s="35"/>
      <c r="SHF865" s="35"/>
      <c r="SHG865" s="35"/>
      <c r="SRB865" s="35"/>
      <c r="SRC865" s="35"/>
      <c r="TAX865" s="35"/>
      <c r="TAY865" s="35"/>
      <c r="TKT865" s="35"/>
      <c r="TKU865" s="35"/>
      <c r="TUP865" s="35"/>
      <c r="TUQ865" s="35"/>
      <c r="UEL865" s="35"/>
      <c r="UEM865" s="35"/>
      <c r="UOH865" s="35"/>
      <c r="UOI865" s="35"/>
      <c r="UYD865" s="35"/>
      <c r="UYE865" s="35"/>
      <c r="VHZ865" s="35"/>
      <c r="VIA865" s="35"/>
      <c r="VRV865" s="35"/>
      <c r="VRW865" s="35"/>
      <c r="WBR865" s="35"/>
      <c r="WBS865" s="35"/>
      <c r="WLN865" s="35"/>
      <c r="WLO865" s="35"/>
      <c r="WVJ865" s="35"/>
      <c r="WVK865" s="35"/>
    </row>
    <row r="866" spans="1:771 1026:1795 2050:2819 3074:3843 4098:4867 5122:5891 6146:6915 7170:7939 8194:8963 9218:9987 10242:11011 11266:12035 12290:13059 13314:14083 14338:15107 15362:16131" s="35" customFormat="1" ht="69" x14ac:dyDescent="0.3">
      <c r="A866" s="28">
        <v>77</v>
      </c>
      <c r="B866" s="29" t="s">
        <v>682</v>
      </c>
      <c r="C866" s="30" t="s">
        <v>686</v>
      </c>
      <c r="D866" s="31" t="s">
        <v>13</v>
      </c>
      <c r="E866" s="32">
        <v>8.5</v>
      </c>
      <c r="F866" s="33"/>
      <c r="G866" s="33"/>
      <c r="H866" s="34" t="s">
        <v>687</v>
      </c>
    </row>
    <row r="867" spans="1:771 1026:1795 2050:2819 3074:3843 4098:4867 5122:5891 6146:6915 7170:7939 8194:8963 9218:9987 10242:11011 11266:12035 12290:13059 13314:14083 14338:15107 15362:16131" s="35" customFormat="1" x14ac:dyDescent="0.3">
      <c r="A867" s="36"/>
      <c r="B867" s="72" t="s">
        <v>683</v>
      </c>
      <c r="C867" s="38" t="s">
        <v>14</v>
      </c>
      <c r="D867" s="39"/>
      <c r="E867" s="44"/>
      <c r="F867" s="40"/>
      <c r="G867" s="41">
        <f>SUM(G868)</f>
        <v>165571500</v>
      </c>
      <c r="H867" s="42"/>
    </row>
    <row r="868" spans="1:771 1026:1795 2050:2819 3074:3843 4098:4867 5122:5891 6146:6915 7170:7939 8194:8963 9218:9987 10242:11011 11266:12035 12290:13059 13314:14083 14338:15107 15362:16131" s="35" customFormat="1" ht="78" x14ac:dyDescent="0.3">
      <c r="A868" s="36"/>
      <c r="B868" s="72" t="s">
        <v>684</v>
      </c>
      <c r="C868" s="48" t="s">
        <v>38</v>
      </c>
      <c r="D868" s="39" t="s">
        <v>13</v>
      </c>
      <c r="E868" s="44">
        <v>8.5</v>
      </c>
      <c r="F868" s="161">
        <v>19479000</v>
      </c>
      <c r="G868" s="40">
        <f>E868*F868</f>
        <v>165571500</v>
      </c>
      <c r="H868" s="42"/>
    </row>
    <row r="869" spans="1:771 1026:1795 2050:2819 3074:3843 4098:4867 5122:5891 6146:6915 7170:7939 8194:8963 9218:9987 10242:11011 11266:12035 12290:13059 13314:14083 14338:15107 15362:16131" s="35" customFormat="1" x14ac:dyDescent="0.3">
      <c r="A869" s="36"/>
      <c r="B869" s="72" t="s">
        <v>685</v>
      </c>
      <c r="C869" s="47" t="s">
        <v>35</v>
      </c>
      <c r="D869" s="39"/>
      <c r="E869" s="73"/>
      <c r="F869" s="40"/>
      <c r="G869" s="41">
        <f>SUM(G870:G872)</f>
        <v>39903028</v>
      </c>
      <c r="H869" s="45"/>
    </row>
    <row r="870" spans="1:771 1026:1795 2050:2819 3074:3843 4098:4867 5122:5891 6146:6915 7170:7939 8194:8963 9218:9987 10242:11011 11266:12035 12290:13059 13314:14083 14338:15107 15362:16131" s="35" customFormat="1" ht="82.8" x14ac:dyDescent="0.3">
      <c r="A870" s="36"/>
      <c r="B870" s="50"/>
      <c r="C870" s="101" t="s">
        <v>688</v>
      </c>
      <c r="D870" s="39" t="s">
        <v>234</v>
      </c>
      <c r="E870" s="73">
        <v>6.8310000000000004</v>
      </c>
      <c r="F870" s="74">
        <v>4594000</v>
      </c>
      <c r="G870" s="40">
        <f>E870*F870</f>
        <v>31381614</v>
      </c>
      <c r="H870" s="45" t="s">
        <v>2434</v>
      </c>
    </row>
    <row r="871" spans="1:771 1026:1795 2050:2819 3074:3843 4098:4867 5122:5891 6146:6915 7170:7939 8194:8963 9218:9987 10242:11011 11266:12035 12290:13059 13314:14083 14338:15107 15362:16131" s="35" customFormat="1" x14ac:dyDescent="0.3">
      <c r="A871" s="36"/>
      <c r="B871" s="50"/>
      <c r="C871" s="66" t="s">
        <v>689</v>
      </c>
      <c r="D871" s="39" t="s">
        <v>234</v>
      </c>
      <c r="E871" s="73">
        <v>1.5309999999999999</v>
      </c>
      <c r="F871" s="74">
        <v>4594000</v>
      </c>
      <c r="G871" s="40">
        <f>E871*F871</f>
        <v>7033414</v>
      </c>
      <c r="H871" s="45" t="s">
        <v>2375</v>
      </c>
    </row>
    <row r="872" spans="1:771 1026:1795 2050:2819 3074:3843 4098:4867 5122:5891 6146:6915 7170:7939 8194:8963 9218:9987 10242:11011 11266:12035 12290:13059 13314:14083 14338:15107 15362:16131" s="35" customFormat="1" x14ac:dyDescent="0.3">
      <c r="A872" s="36"/>
      <c r="B872" s="50"/>
      <c r="C872" s="66" t="s">
        <v>698</v>
      </c>
      <c r="D872" s="39" t="s">
        <v>234</v>
      </c>
      <c r="E872" s="73">
        <v>9.3000000000000007</v>
      </c>
      <c r="F872" s="74">
        <v>160000</v>
      </c>
      <c r="G872" s="40">
        <f>E872*F872</f>
        <v>1488000</v>
      </c>
      <c r="H872" s="45"/>
    </row>
    <row r="873" spans="1:771 1026:1795 2050:2819 3074:3843 4098:4867 5122:5891 6146:6915 7170:7939 8194:8963 9218:9987 10242:11011 11266:12035 12290:13059 13314:14083 14338:15107 15362:16131" s="35" customFormat="1" ht="65.400000000000006" thickBot="1" x14ac:dyDescent="0.35">
      <c r="A873" s="53"/>
      <c r="B873" s="54"/>
      <c r="C873" s="55" t="s">
        <v>2331</v>
      </c>
      <c r="D873" s="56"/>
      <c r="E873" s="5"/>
      <c r="F873" s="6"/>
      <c r="G873" s="57"/>
      <c r="H873" s="58"/>
    </row>
    <row r="874" spans="1:771 1026:1795 2050:2819 3074:3843 4098:4867 5122:5891 6146:6915 7170:7939 8194:8963 9218:9987 10242:11011 11266:12035 12290:13059 13314:14083 14338:15107 15362:16131" s="59" customFormat="1" ht="31.8" thickBot="1" x14ac:dyDescent="0.35">
      <c r="A874" s="154"/>
      <c r="B874" s="155" t="s">
        <v>26</v>
      </c>
      <c r="C874" s="156"/>
      <c r="D874" s="154"/>
      <c r="E874" s="157"/>
      <c r="F874" s="158"/>
      <c r="G874" s="159">
        <f>SUM(G866:G873)/2</f>
        <v>205474528</v>
      </c>
      <c r="H874" s="160"/>
      <c r="IX874" s="35"/>
      <c r="IY874" s="35"/>
      <c r="ST874" s="35"/>
      <c r="SU874" s="35"/>
      <c r="ACP874" s="35"/>
      <c r="ACQ874" s="35"/>
      <c r="AML874" s="35"/>
      <c r="AMM874" s="35"/>
      <c r="AWH874" s="35"/>
      <c r="AWI874" s="35"/>
      <c r="BGD874" s="35"/>
      <c r="BGE874" s="35"/>
      <c r="BPZ874" s="35"/>
      <c r="BQA874" s="35"/>
      <c r="BZV874" s="35"/>
      <c r="BZW874" s="35"/>
      <c r="CJR874" s="35"/>
      <c r="CJS874" s="35"/>
      <c r="CTN874" s="35"/>
      <c r="CTO874" s="35"/>
      <c r="DDJ874" s="35"/>
      <c r="DDK874" s="35"/>
      <c r="DNF874" s="35"/>
      <c r="DNG874" s="35"/>
      <c r="DXB874" s="35"/>
      <c r="DXC874" s="35"/>
      <c r="EGX874" s="35"/>
      <c r="EGY874" s="35"/>
      <c r="EQT874" s="35"/>
      <c r="EQU874" s="35"/>
      <c r="FAP874" s="35"/>
      <c r="FAQ874" s="35"/>
      <c r="FKL874" s="35"/>
      <c r="FKM874" s="35"/>
      <c r="FUH874" s="35"/>
      <c r="FUI874" s="35"/>
      <c r="GED874" s="35"/>
      <c r="GEE874" s="35"/>
      <c r="GNZ874" s="35"/>
      <c r="GOA874" s="35"/>
      <c r="GXV874" s="35"/>
      <c r="GXW874" s="35"/>
      <c r="HHR874" s="35"/>
      <c r="HHS874" s="35"/>
      <c r="HRN874" s="35"/>
      <c r="HRO874" s="35"/>
      <c r="IBJ874" s="35"/>
      <c r="IBK874" s="35"/>
      <c r="ILF874" s="35"/>
      <c r="ILG874" s="35"/>
      <c r="IVB874" s="35"/>
      <c r="IVC874" s="35"/>
      <c r="JEX874" s="35"/>
      <c r="JEY874" s="35"/>
      <c r="JOT874" s="35"/>
      <c r="JOU874" s="35"/>
      <c r="JYP874" s="35"/>
      <c r="JYQ874" s="35"/>
      <c r="KIL874" s="35"/>
      <c r="KIM874" s="35"/>
      <c r="KSH874" s="35"/>
      <c r="KSI874" s="35"/>
      <c r="LCD874" s="35"/>
      <c r="LCE874" s="35"/>
      <c r="LLZ874" s="35"/>
      <c r="LMA874" s="35"/>
      <c r="LVV874" s="35"/>
      <c r="LVW874" s="35"/>
      <c r="MFR874" s="35"/>
      <c r="MFS874" s="35"/>
      <c r="MPN874" s="35"/>
      <c r="MPO874" s="35"/>
      <c r="MZJ874" s="35"/>
      <c r="MZK874" s="35"/>
      <c r="NJF874" s="35"/>
      <c r="NJG874" s="35"/>
      <c r="NTB874" s="35"/>
      <c r="NTC874" s="35"/>
      <c r="OCX874" s="35"/>
      <c r="OCY874" s="35"/>
      <c r="OMT874" s="35"/>
      <c r="OMU874" s="35"/>
      <c r="OWP874" s="35"/>
      <c r="OWQ874" s="35"/>
      <c r="PGL874" s="35"/>
      <c r="PGM874" s="35"/>
      <c r="PQH874" s="35"/>
      <c r="PQI874" s="35"/>
      <c r="QAD874" s="35"/>
      <c r="QAE874" s="35"/>
      <c r="QJZ874" s="35"/>
      <c r="QKA874" s="35"/>
      <c r="QTV874" s="35"/>
      <c r="QTW874" s="35"/>
      <c r="RDR874" s="35"/>
      <c r="RDS874" s="35"/>
      <c r="RNN874" s="35"/>
      <c r="RNO874" s="35"/>
      <c r="RXJ874" s="35"/>
      <c r="RXK874" s="35"/>
      <c r="SHF874" s="35"/>
      <c r="SHG874" s="35"/>
      <c r="SRB874" s="35"/>
      <c r="SRC874" s="35"/>
      <c r="TAX874" s="35"/>
      <c r="TAY874" s="35"/>
      <c r="TKT874" s="35"/>
      <c r="TKU874" s="35"/>
      <c r="TUP874" s="35"/>
      <c r="TUQ874" s="35"/>
      <c r="UEL874" s="35"/>
      <c r="UEM874" s="35"/>
      <c r="UOH874" s="35"/>
      <c r="UOI874" s="35"/>
      <c r="UYD874" s="35"/>
      <c r="UYE874" s="35"/>
      <c r="VHZ874" s="35"/>
      <c r="VIA874" s="35"/>
      <c r="VRV874" s="35"/>
      <c r="VRW874" s="35"/>
      <c r="WBR874" s="35"/>
      <c r="WBS874" s="35"/>
      <c r="WLN874" s="35"/>
      <c r="WLO874" s="35"/>
      <c r="WVJ874" s="35"/>
      <c r="WVK874" s="35"/>
    </row>
    <row r="875" spans="1:771 1026:1795 2050:2819 3074:3843 4098:4867 5122:5891 6146:6915 7170:7939 8194:8963 9218:9987 10242:11011 11266:12035 12290:13059 13314:14083 14338:15107 15362:16131" s="35" customFormat="1" ht="69" x14ac:dyDescent="0.3">
      <c r="A875" s="28">
        <v>78</v>
      </c>
      <c r="B875" s="29" t="s">
        <v>690</v>
      </c>
      <c r="C875" s="30" t="s">
        <v>695</v>
      </c>
      <c r="D875" s="31" t="s">
        <v>13</v>
      </c>
      <c r="E875" s="32">
        <v>8.1</v>
      </c>
      <c r="F875" s="33"/>
      <c r="G875" s="33"/>
      <c r="H875" s="34" t="s">
        <v>694</v>
      </c>
    </row>
    <row r="876" spans="1:771 1026:1795 2050:2819 3074:3843 4098:4867 5122:5891 6146:6915 7170:7939 8194:8963 9218:9987 10242:11011 11266:12035 12290:13059 13314:14083 14338:15107 15362:16131" s="35" customFormat="1" x14ac:dyDescent="0.3">
      <c r="A876" s="36"/>
      <c r="B876" s="72" t="s">
        <v>691</v>
      </c>
      <c r="C876" s="38" t="s">
        <v>14</v>
      </c>
      <c r="D876" s="39"/>
      <c r="E876" s="44"/>
      <c r="F876" s="40"/>
      <c r="G876" s="41">
        <f>SUM(G877)</f>
        <v>157779900</v>
      </c>
      <c r="H876" s="42"/>
    </row>
    <row r="877" spans="1:771 1026:1795 2050:2819 3074:3843 4098:4867 5122:5891 6146:6915 7170:7939 8194:8963 9218:9987 10242:11011 11266:12035 12290:13059 13314:14083 14338:15107 15362:16131" s="35" customFormat="1" ht="78" x14ac:dyDescent="0.3">
      <c r="A877" s="36"/>
      <c r="B877" s="72" t="s">
        <v>692</v>
      </c>
      <c r="C877" s="48" t="s">
        <v>38</v>
      </c>
      <c r="D877" s="39" t="s">
        <v>13</v>
      </c>
      <c r="E877" s="44">
        <v>8.1</v>
      </c>
      <c r="F877" s="153">
        <v>19479000</v>
      </c>
      <c r="G877" s="40">
        <f>E877*F877</f>
        <v>157779900</v>
      </c>
      <c r="H877" s="42"/>
    </row>
    <row r="878" spans="1:771 1026:1795 2050:2819 3074:3843 4098:4867 5122:5891 6146:6915 7170:7939 8194:8963 9218:9987 10242:11011 11266:12035 12290:13059 13314:14083 14338:15107 15362:16131" s="35" customFormat="1" x14ac:dyDescent="0.3">
      <c r="A878" s="36"/>
      <c r="B878" s="72" t="s">
        <v>693</v>
      </c>
      <c r="C878" s="47" t="s">
        <v>35</v>
      </c>
      <c r="D878" s="39"/>
      <c r="E878" s="73"/>
      <c r="F878" s="40"/>
      <c r="G878" s="41">
        <f>SUM(G879:G880)</f>
        <v>20681000</v>
      </c>
      <c r="H878" s="45"/>
    </row>
    <row r="879" spans="1:771 1026:1795 2050:2819 3074:3843 4098:4867 5122:5891 6146:6915 7170:7939 8194:8963 9218:9987 10242:11011 11266:12035 12290:13059 13314:14083 14338:15107 15362:16131" s="35" customFormat="1" ht="82.8" x14ac:dyDescent="0.3">
      <c r="A879" s="36"/>
      <c r="B879" s="50"/>
      <c r="C879" s="101" t="s">
        <v>696</v>
      </c>
      <c r="D879" s="39" t="s">
        <v>234</v>
      </c>
      <c r="E879" s="73">
        <f>1.25*4</f>
        <v>5</v>
      </c>
      <c r="F879" s="74">
        <v>3592000</v>
      </c>
      <c r="G879" s="40">
        <f>E879*F879</f>
        <v>17960000</v>
      </c>
      <c r="H879" s="45" t="s">
        <v>2435</v>
      </c>
    </row>
    <row r="880" spans="1:771 1026:1795 2050:2819 3074:3843 4098:4867 5122:5891 6146:6915 7170:7939 8194:8963 9218:9987 10242:11011 11266:12035 12290:13059 13314:14083 14338:15107 15362:16131" s="35" customFormat="1" ht="46.8" x14ac:dyDescent="0.3">
      <c r="A880" s="36"/>
      <c r="B880" s="50"/>
      <c r="C880" s="66" t="s">
        <v>697</v>
      </c>
      <c r="D880" s="39" t="s">
        <v>234</v>
      </c>
      <c r="E880" s="73">
        <f>0.75*4</f>
        <v>3</v>
      </c>
      <c r="F880" s="74">
        <v>907000</v>
      </c>
      <c r="G880" s="40">
        <f>E880*F880</f>
        <v>2721000</v>
      </c>
      <c r="H880" s="45" t="s">
        <v>2375</v>
      </c>
    </row>
    <row r="881" spans="1:771 1026:1795 2050:2819 3074:3843 4098:4867 5122:5891 6146:6915 7170:7939 8194:8963 9218:9987 10242:11011 11266:12035 12290:13059 13314:14083 14338:15107 15362:16131" s="35" customFormat="1" ht="65.400000000000006" thickBot="1" x14ac:dyDescent="0.35">
      <c r="A881" s="53"/>
      <c r="B881" s="54"/>
      <c r="C881" s="55" t="s">
        <v>2331</v>
      </c>
      <c r="D881" s="56"/>
      <c r="E881" s="5"/>
      <c r="F881" s="6"/>
      <c r="G881" s="57"/>
      <c r="H881" s="58"/>
    </row>
    <row r="882" spans="1:771 1026:1795 2050:2819 3074:3843 4098:4867 5122:5891 6146:6915 7170:7939 8194:8963 9218:9987 10242:11011 11266:12035 12290:13059 13314:14083 14338:15107 15362:16131" s="59" customFormat="1" ht="31.8" thickBot="1" x14ac:dyDescent="0.35">
      <c r="A882" s="154"/>
      <c r="B882" s="155" t="s">
        <v>26</v>
      </c>
      <c r="C882" s="156"/>
      <c r="D882" s="154"/>
      <c r="E882" s="157"/>
      <c r="F882" s="158"/>
      <c r="G882" s="159">
        <f>SUM(G875:G881)/2</f>
        <v>178460900</v>
      </c>
      <c r="H882" s="160"/>
      <c r="IX882" s="35"/>
      <c r="IY882" s="35"/>
      <c r="ST882" s="35"/>
      <c r="SU882" s="35"/>
      <c r="ACP882" s="35"/>
      <c r="ACQ882" s="35"/>
      <c r="AML882" s="35"/>
      <c r="AMM882" s="35"/>
      <c r="AWH882" s="35"/>
      <c r="AWI882" s="35"/>
      <c r="BGD882" s="35"/>
      <c r="BGE882" s="35"/>
      <c r="BPZ882" s="35"/>
      <c r="BQA882" s="35"/>
      <c r="BZV882" s="35"/>
      <c r="BZW882" s="35"/>
      <c r="CJR882" s="35"/>
      <c r="CJS882" s="35"/>
      <c r="CTN882" s="35"/>
      <c r="CTO882" s="35"/>
      <c r="DDJ882" s="35"/>
      <c r="DDK882" s="35"/>
      <c r="DNF882" s="35"/>
      <c r="DNG882" s="35"/>
      <c r="DXB882" s="35"/>
      <c r="DXC882" s="35"/>
      <c r="EGX882" s="35"/>
      <c r="EGY882" s="35"/>
      <c r="EQT882" s="35"/>
      <c r="EQU882" s="35"/>
      <c r="FAP882" s="35"/>
      <c r="FAQ882" s="35"/>
      <c r="FKL882" s="35"/>
      <c r="FKM882" s="35"/>
      <c r="FUH882" s="35"/>
      <c r="FUI882" s="35"/>
      <c r="GED882" s="35"/>
      <c r="GEE882" s="35"/>
      <c r="GNZ882" s="35"/>
      <c r="GOA882" s="35"/>
      <c r="GXV882" s="35"/>
      <c r="GXW882" s="35"/>
      <c r="HHR882" s="35"/>
      <c r="HHS882" s="35"/>
      <c r="HRN882" s="35"/>
      <c r="HRO882" s="35"/>
      <c r="IBJ882" s="35"/>
      <c r="IBK882" s="35"/>
      <c r="ILF882" s="35"/>
      <c r="ILG882" s="35"/>
      <c r="IVB882" s="35"/>
      <c r="IVC882" s="35"/>
      <c r="JEX882" s="35"/>
      <c r="JEY882" s="35"/>
      <c r="JOT882" s="35"/>
      <c r="JOU882" s="35"/>
      <c r="JYP882" s="35"/>
      <c r="JYQ882" s="35"/>
      <c r="KIL882" s="35"/>
      <c r="KIM882" s="35"/>
      <c r="KSH882" s="35"/>
      <c r="KSI882" s="35"/>
      <c r="LCD882" s="35"/>
      <c r="LCE882" s="35"/>
      <c r="LLZ882" s="35"/>
      <c r="LMA882" s="35"/>
      <c r="LVV882" s="35"/>
      <c r="LVW882" s="35"/>
      <c r="MFR882" s="35"/>
      <c r="MFS882" s="35"/>
      <c r="MPN882" s="35"/>
      <c r="MPO882" s="35"/>
      <c r="MZJ882" s="35"/>
      <c r="MZK882" s="35"/>
      <c r="NJF882" s="35"/>
      <c r="NJG882" s="35"/>
      <c r="NTB882" s="35"/>
      <c r="NTC882" s="35"/>
      <c r="OCX882" s="35"/>
      <c r="OCY882" s="35"/>
      <c r="OMT882" s="35"/>
      <c r="OMU882" s="35"/>
      <c r="OWP882" s="35"/>
      <c r="OWQ882" s="35"/>
      <c r="PGL882" s="35"/>
      <c r="PGM882" s="35"/>
      <c r="PQH882" s="35"/>
      <c r="PQI882" s="35"/>
      <c r="QAD882" s="35"/>
      <c r="QAE882" s="35"/>
      <c r="QJZ882" s="35"/>
      <c r="QKA882" s="35"/>
      <c r="QTV882" s="35"/>
      <c r="QTW882" s="35"/>
      <c r="RDR882" s="35"/>
      <c r="RDS882" s="35"/>
      <c r="RNN882" s="35"/>
      <c r="RNO882" s="35"/>
      <c r="RXJ882" s="35"/>
      <c r="RXK882" s="35"/>
      <c r="SHF882" s="35"/>
      <c r="SHG882" s="35"/>
      <c r="SRB882" s="35"/>
      <c r="SRC882" s="35"/>
      <c r="TAX882" s="35"/>
      <c r="TAY882" s="35"/>
      <c r="TKT882" s="35"/>
      <c r="TKU882" s="35"/>
      <c r="TUP882" s="35"/>
      <c r="TUQ882" s="35"/>
      <c r="UEL882" s="35"/>
      <c r="UEM882" s="35"/>
      <c r="UOH882" s="35"/>
      <c r="UOI882" s="35"/>
      <c r="UYD882" s="35"/>
      <c r="UYE882" s="35"/>
      <c r="VHZ882" s="35"/>
      <c r="VIA882" s="35"/>
      <c r="VRV882" s="35"/>
      <c r="VRW882" s="35"/>
      <c r="WBR882" s="35"/>
      <c r="WBS882" s="35"/>
      <c r="WLN882" s="35"/>
      <c r="WLO882" s="35"/>
      <c r="WVJ882" s="35"/>
      <c r="WVK882" s="35"/>
    </row>
    <row r="883" spans="1:771 1026:1795 2050:2819 3074:3843 4098:4867 5122:5891 6146:6915 7170:7939 8194:8963 9218:9987 10242:11011 11266:12035 12290:13059 13314:14083 14338:15107 15362:16131" s="35" customFormat="1" ht="69" x14ac:dyDescent="0.3">
      <c r="A883" s="28">
        <v>79</v>
      </c>
      <c r="B883" s="29" t="s">
        <v>699</v>
      </c>
      <c r="C883" s="30" t="s">
        <v>703</v>
      </c>
      <c r="D883" s="31" t="s">
        <v>13</v>
      </c>
      <c r="E883" s="32">
        <v>10.199999999999999</v>
      </c>
      <c r="F883" s="33"/>
      <c r="G883" s="33"/>
      <c r="H883" s="34" t="s">
        <v>704</v>
      </c>
    </row>
    <row r="884" spans="1:771 1026:1795 2050:2819 3074:3843 4098:4867 5122:5891 6146:6915 7170:7939 8194:8963 9218:9987 10242:11011 11266:12035 12290:13059 13314:14083 14338:15107 15362:16131" s="35" customFormat="1" x14ac:dyDescent="0.3">
      <c r="A884" s="36"/>
      <c r="B884" s="72" t="s">
        <v>700</v>
      </c>
      <c r="C884" s="38" t="s">
        <v>14</v>
      </c>
      <c r="D884" s="39"/>
      <c r="E884" s="44"/>
      <c r="F884" s="40"/>
      <c r="G884" s="41">
        <f>SUM(G885)</f>
        <v>198685800</v>
      </c>
      <c r="H884" s="42"/>
    </row>
    <row r="885" spans="1:771 1026:1795 2050:2819 3074:3843 4098:4867 5122:5891 6146:6915 7170:7939 8194:8963 9218:9987 10242:11011 11266:12035 12290:13059 13314:14083 14338:15107 15362:16131" s="35" customFormat="1" ht="78" x14ac:dyDescent="0.3">
      <c r="A885" s="36"/>
      <c r="B885" s="72" t="s">
        <v>701</v>
      </c>
      <c r="C885" s="48" t="s">
        <v>38</v>
      </c>
      <c r="D885" s="39" t="s">
        <v>13</v>
      </c>
      <c r="E885" s="44">
        <v>10.199999999999999</v>
      </c>
      <c r="F885" s="161">
        <v>19479000</v>
      </c>
      <c r="G885" s="40">
        <f>E885*F885</f>
        <v>198685800</v>
      </c>
      <c r="H885" s="42"/>
    </row>
    <row r="886" spans="1:771 1026:1795 2050:2819 3074:3843 4098:4867 5122:5891 6146:6915 7170:7939 8194:8963 9218:9987 10242:11011 11266:12035 12290:13059 13314:14083 14338:15107 15362:16131" s="35" customFormat="1" x14ac:dyDescent="0.3">
      <c r="A886" s="36"/>
      <c r="B886" s="72" t="s">
        <v>702</v>
      </c>
      <c r="C886" s="47" t="s">
        <v>35</v>
      </c>
      <c r="D886" s="39"/>
      <c r="E886" s="73"/>
      <c r="F886" s="40"/>
      <c r="G886" s="41">
        <f>SUM(G887:G889)</f>
        <v>48606220</v>
      </c>
      <c r="H886" s="45"/>
    </row>
    <row r="887" spans="1:771 1026:1795 2050:2819 3074:3843 4098:4867 5122:5891 6146:6915 7170:7939 8194:8963 9218:9987 10242:11011 11266:12035 12290:13059 13314:14083 14338:15107 15362:16131" s="35" customFormat="1" ht="82.8" x14ac:dyDescent="0.3">
      <c r="A887" s="36"/>
      <c r="B887" s="50"/>
      <c r="C887" s="101" t="s">
        <v>705</v>
      </c>
      <c r="D887" s="39" t="s">
        <v>234</v>
      </c>
      <c r="E887" s="73">
        <v>10.6</v>
      </c>
      <c r="F887" s="74">
        <v>3592000</v>
      </c>
      <c r="G887" s="40">
        <f>E887*F887</f>
        <v>38075200</v>
      </c>
      <c r="H887" s="45" t="s">
        <v>2436</v>
      </c>
    </row>
    <row r="888" spans="1:771 1026:1795 2050:2819 3074:3843 4098:4867 5122:5891 6146:6915 7170:7939 8194:8963 9218:9987 10242:11011 11266:12035 12290:13059 13314:14083 14338:15107 15362:16131" s="35" customFormat="1" ht="31.2" x14ac:dyDescent="0.3">
      <c r="A888" s="36"/>
      <c r="B888" s="50"/>
      <c r="C888" s="66" t="s">
        <v>706</v>
      </c>
      <c r="D888" s="39" t="s">
        <v>234</v>
      </c>
      <c r="E888" s="73">
        <f>3.4*5.01</f>
        <v>17.033999999999999</v>
      </c>
      <c r="F888" s="74">
        <v>540000</v>
      </c>
      <c r="G888" s="40">
        <f>E888*F888</f>
        <v>9198360</v>
      </c>
      <c r="H888" s="45" t="s">
        <v>2375</v>
      </c>
    </row>
    <row r="889" spans="1:771 1026:1795 2050:2819 3074:3843 4098:4867 5122:5891 6146:6915 7170:7939 8194:8963 9218:9987 10242:11011 11266:12035 12290:13059 13314:14083 14338:15107 15362:16131" s="35" customFormat="1" x14ac:dyDescent="0.3">
      <c r="A889" s="36"/>
      <c r="B889" s="50"/>
      <c r="C889" s="66" t="s">
        <v>305</v>
      </c>
      <c r="D889" s="39" t="s">
        <v>234</v>
      </c>
      <c r="E889" s="73">
        <f>1.9*5.01</f>
        <v>9.5189999999999984</v>
      </c>
      <c r="F889" s="40">
        <v>140000</v>
      </c>
      <c r="G889" s="40">
        <f>E889*F889</f>
        <v>1332659.9999999998</v>
      </c>
      <c r="H889" s="45"/>
    </row>
    <row r="890" spans="1:771 1026:1795 2050:2819 3074:3843 4098:4867 5122:5891 6146:6915 7170:7939 8194:8963 9218:9987 10242:11011 11266:12035 12290:13059 13314:14083 14338:15107 15362:16131" s="35" customFormat="1" ht="65.400000000000006" thickBot="1" x14ac:dyDescent="0.35">
      <c r="A890" s="53"/>
      <c r="B890" s="54"/>
      <c r="C890" s="55" t="s">
        <v>2331</v>
      </c>
      <c r="D890" s="56"/>
      <c r="E890" s="5"/>
      <c r="F890" s="6"/>
      <c r="G890" s="57"/>
      <c r="H890" s="58"/>
    </row>
    <row r="891" spans="1:771 1026:1795 2050:2819 3074:3843 4098:4867 5122:5891 6146:6915 7170:7939 8194:8963 9218:9987 10242:11011 11266:12035 12290:13059 13314:14083 14338:15107 15362:16131" s="59" customFormat="1" ht="31.8" thickBot="1" x14ac:dyDescent="0.35">
      <c r="A891" s="154"/>
      <c r="B891" s="155" t="s">
        <v>26</v>
      </c>
      <c r="C891" s="156"/>
      <c r="D891" s="154"/>
      <c r="E891" s="157"/>
      <c r="F891" s="158"/>
      <c r="G891" s="159">
        <f>SUM(G883:G890)/2</f>
        <v>247292020</v>
      </c>
      <c r="H891" s="160"/>
      <c r="IX891" s="35"/>
      <c r="IY891" s="35"/>
      <c r="ST891" s="35"/>
      <c r="SU891" s="35"/>
      <c r="ACP891" s="35"/>
      <c r="ACQ891" s="35"/>
      <c r="AML891" s="35"/>
      <c r="AMM891" s="35"/>
      <c r="AWH891" s="35"/>
      <c r="AWI891" s="35"/>
      <c r="BGD891" s="35"/>
      <c r="BGE891" s="35"/>
      <c r="BPZ891" s="35"/>
      <c r="BQA891" s="35"/>
      <c r="BZV891" s="35"/>
      <c r="BZW891" s="35"/>
      <c r="CJR891" s="35"/>
      <c r="CJS891" s="35"/>
      <c r="CTN891" s="35"/>
      <c r="CTO891" s="35"/>
      <c r="DDJ891" s="35"/>
      <c r="DDK891" s="35"/>
      <c r="DNF891" s="35"/>
      <c r="DNG891" s="35"/>
      <c r="DXB891" s="35"/>
      <c r="DXC891" s="35"/>
      <c r="EGX891" s="35"/>
      <c r="EGY891" s="35"/>
      <c r="EQT891" s="35"/>
      <c r="EQU891" s="35"/>
      <c r="FAP891" s="35"/>
      <c r="FAQ891" s="35"/>
      <c r="FKL891" s="35"/>
      <c r="FKM891" s="35"/>
      <c r="FUH891" s="35"/>
      <c r="FUI891" s="35"/>
      <c r="GED891" s="35"/>
      <c r="GEE891" s="35"/>
      <c r="GNZ891" s="35"/>
      <c r="GOA891" s="35"/>
      <c r="GXV891" s="35"/>
      <c r="GXW891" s="35"/>
      <c r="HHR891" s="35"/>
      <c r="HHS891" s="35"/>
      <c r="HRN891" s="35"/>
      <c r="HRO891" s="35"/>
      <c r="IBJ891" s="35"/>
      <c r="IBK891" s="35"/>
      <c r="ILF891" s="35"/>
      <c r="ILG891" s="35"/>
      <c r="IVB891" s="35"/>
      <c r="IVC891" s="35"/>
      <c r="JEX891" s="35"/>
      <c r="JEY891" s="35"/>
      <c r="JOT891" s="35"/>
      <c r="JOU891" s="35"/>
      <c r="JYP891" s="35"/>
      <c r="JYQ891" s="35"/>
      <c r="KIL891" s="35"/>
      <c r="KIM891" s="35"/>
      <c r="KSH891" s="35"/>
      <c r="KSI891" s="35"/>
      <c r="LCD891" s="35"/>
      <c r="LCE891" s="35"/>
      <c r="LLZ891" s="35"/>
      <c r="LMA891" s="35"/>
      <c r="LVV891" s="35"/>
      <c r="LVW891" s="35"/>
      <c r="MFR891" s="35"/>
      <c r="MFS891" s="35"/>
      <c r="MPN891" s="35"/>
      <c r="MPO891" s="35"/>
      <c r="MZJ891" s="35"/>
      <c r="MZK891" s="35"/>
      <c r="NJF891" s="35"/>
      <c r="NJG891" s="35"/>
      <c r="NTB891" s="35"/>
      <c r="NTC891" s="35"/>
      <c r="OCX891" s="35"/>
      <c r="OCY891" s="35"/>
      <c r="OMT891" s="35"/>
      <c r="OMU891" s="35"/>
      <c r="OWP891" s="35"/>
      <c r="OWQ891" s="35"/>
      <c r="PGL891" s="35"/>
      <c r="PGM891" s="35"/>
      <c r="PQH891" s="35"/>
      <c r="PQI891" s="35"/>
      <c r="QAD891" s="35"/>
      <c r="QAE891" s="35"/>
      <c r="QJZ891" s="35"/>
      <c r="QKA891" s="35"/>
      <c r="QTV891" s="35"/>
      <c r="QTW891" s="35"/>
      <c r="RDR891" s="35"/>
      <c r="RDS891" s="35"/>
      <c r="RNN891" s="35"/>
      <c r="RNO891" s="35"/>
      <c r="RXJ891" s="35"/>
      <c r="RXK891" s="35"/>
      <c r="SHF891" s="35"/>
      <c r="SHG891" s="35"/>
      <c r="SRB891" s="35"/>
      <c r="SRC891" s="35"/>
      <c r="TAX891" s="35"/>
      <c r="TAY891" s="35"/>
      <c r="TKT891" s="35"/>
      <c r="TKU891" s="35"/>
      <c r="TUP891" s="35"/>
      <c r="TUQ891" s="35"/>
      <c r="UEL891" s="35"/>
      <c r="UEM891" s="35"/>
      <c r="UOH891" s="35"/>
      <c r="UOI891" s="35"/>
      <c r="UYD891" s="35"/>
      <c r="UYE891" s="35"/>
      <c r="VHZ891" s="35"/>
      <c r="VIA891" s="35"/>
      <c r="VRV891" s="35"/>
      <c r="VRW891" s="35"/>
      <c r="WBR891" s="35"/>
      <c r="WBS891" s="35"/>
      <c r="WLN891" s="35"/>
      <c r="WLO891" s="35"/>
      <c r="WVJ891" s="35"/>
      <c r="WVK891" s="35"/>
    </row>
    <row r="892" spans="1:771 1026:1795 2050:2819 3074:3843 4098:4867 5122:5891 6146:6915 7170:7939 8194:8963 9218:9987 10242:11011 11266:12035 12290:13059 13314:14083 14338:15107 15362:16131" s="35" customFormat="1" ht="69" x14ac:dyDescent="0.3">
      <c r="A892" s="28">
        <v>80</v>
      </c>
      <c r="B892" s="29" t="s">
        <v>707</v>
      </c>
      <c r="C892" s="30" t="s">
        <v>711</v>
      </c>
      <c r="D892" s="31" t="s">
        <v>13</v>
      </c>
      <c r="E892" s="32">
        <v>8.1</v>
      </c>
      <c r="F892" s="33"/>
      <c r="G892" s="33"/>
      <c r="H892" s="34" t="s">
        <v>712</v>
      </c>
    </row>
    <row r="893" spans="1:771 1026:1795 2050:2819 3074:3843 4098:4867 5122:5891 6146:6915 7170:7939 8194:8963 9218:9987 10242:11011 11266:12035 12290:13059 13314:14083 14338:15107 15362:16131" s="35" customFormat="1" x14ac:dyDescent="0.3">
      <c r="A893" s="36"/>
      <c r="B893" s="72" t="s">
        <v>708</v>
      </c>
      <c r="C893" s="38" t="s">
        <v>14</v>
      </c>
      <c r="D893" s="39"/>
      <c r="E893" s="44"/>
      <c r="F893" s="40"/>
      <c r="G893" s="41">
        <f>SUM(G894)</f>
        <v>157779900</v>
      </c>
      <c r="H893" s="42"/>
    </row>
    <row r="894" spans="1:771 1026:1795 2050:2819 3074:3843 4098:4867 5122:5891 6146:6915 7170:7939 8194:8963 9218:9987 10242:11011 11266:12035 12290:13059 13314:14083 14338:15107 15362:16131" s="35" customFormat="1" ht="78" x14ac:dyDescent="0.3">
      <c r="A894" s="36"/>
      <c r="B894" s="72" t="s">
        <v>709</v>
      </c>
      <c r="C894" s="48" t="s">
        <v>38</v>
      </c>
      <c r="D894" s="39" t="s">
        <v>13</v>
      </c>
      <c r="E894" s="44">
        <v>8.1</v>
      </c>
      <c r="F894" s="161">
        <v>19479000</v>
      </c>
      <c r="G894" s="40">
        <f>E894*F894</f>
        <v>157779900</v>
      </c>
      <c r="H894" s="42"/>
    </row>
    <row r="895" spans="1:771 1026:1795 2050:2819 3074:3843 4098:4867 5122:5891 6146:6915 7170:7939 8194:8963 9218:9987 10242:11011 11266:12035 12290:13059 13314:14083 14338:15107 15362:16131" s="35" customFormat="1" x14ac:dyDescent="0.3">
      <c r="A895" s="36"/>
      <c r="B895" s="72" t="s">
        <v>710</v>
      </c>
      <c r="C895" s="47" t="s">
        <v>35</v>
      </c>
      <c r="D895" s="39"/>
      <c r="E895" s="73"/>
      <c r="F895" s="40"/>
      <c r="G895" s="41">
        <f>SUM(G896:G899)</f>
        <v>10001658.4</v>
      </c>
      <c r="H895" s="45"/>
    </row>
    <row r="896" spans="1:771 1026:1795 2050:2819 3074:3843 4098:4867 5122:5891 6146:6915 7170:7939 8194:8963 9218:9987 10242:11011 11266:12035 12290:13059 13314:14083 14338:15107 15362:16131" s="35" customFormat="1" ht="109.2" x14ac:dyDescent="0.3">
      <c r="A896" s="36"/>
      <c r="B896" s="50"/>
      <c r="C896" s="66" t="s">
        <v>713</v>
      </c>
      <c r="D896" s="39" t="s">
        <v>234</v>
      </c>
      <c r="E896" s="73">
        <v>5.75</v>
      </c>
      <c r="F896" s="74">
        <f>3592000*40%</f>
        <v>1436800</v>
      </c>
      <c r="G896" s="40">
        <f>E896*F896</f>
        <v>8261600</v>
      </c>
      <c r="H896" s="45" t="s">
        <v>2437</v>
      </c>
    </row>
    <row r="897" spans="1:771 1026:1795 2050:2819 3074:3843 4098:4867 5122:5891 6146:6915 7170:7939 8194:8963 9218:9987 10242:11011 11266:12035 12290:13059 13314:14083 14338:15107 15362:16131" s="35" customFormat="1" ht="31.2" x14ac:dyDescent="0.3">
      <c r="A897" s="36"/>
      <c r="B897" s="50"/>
      <c r="C897" s="66" t="s">
        <v>714</v>
      </c>
      <c r="D897" s="39" t="s">
        <v>234</v>
      </c>
      <c r="E897" s="73">
        <f>0.64*4.01</f>
        <v>2.5663999999999998</v>
      </c>
      <c r="F897" s="74">
        <f>540000*40%</f>
        <v>216000</v>
      </c>
      <c r="G897" s="40">
        <f>E897*F897</f>
        <v>554342.39999999991</v>
      </c>
      <c r="H897" s="45" t="s">
        <v>2374</v>
      </c>
    </row>
    <row r="898" spans="1:771 1026:1795 2050:2819 3074:3843 4098:4867 5122:5891 6146:6915 7170:7939 8194:8963 9218:9987 10242:11011 11266:12035 12290:13059 13314:14083 14338:15107 15362:16131" s="35" customFormat="1" x14ac:dyDescent="0.3">
      <c r="A898" s="36"/>
      <c r="B898" s="50"/>
      <c r="C898" s="66" t="s">
        <v>189</v>
      </c>
      <c r="D898" s="39" t="s">
        <v>231</v>
      </c>
      <c r="E898" s="73">
        <f>0.7*3.4*0.1*2</f>
        <v>0.47599999999999998</v>
      </c>
      <c r="F898" s="40">
        <v>1421000</v>
      </c>
      <c r="G898" s="40">
        <f>E898*F898</f>
        <v>676396</v>
      </c>
      <c r="H898" s="45"/>
    </row>
    <row r="899" spans="1:771 1026:1795 2050:2819 3074:3843 4098:4867 5122:5891 6146:6915 7170:7939 8194:8963 9218:9987 10242:11011 11266:12035 12290:13059 13314:14083 14338:15107 15362:16131" s="35" customFormat="1" x14ac:dyDescent="0.3">
      <c r="A899" s="36"/>
      <c r="B899" s="50"/>
      <c r="C899" s="66" t="s">
        <v>190</v>
      </c>
      <c r="D899" s="39" t="s">
        <v>234</v>
      </c>
      <c r="E899" s="73">
        <f>0.7*3.4*2</f>
        <v>4.76</v>
      </c>
      <c r="F899" s="74">
        <v>107000</v>
      </c>
      <c r="G899" s="40">
        <f>E899*F899</f>
        <v>509320</v>
      </c>
      <c r="H899" s="45"/>
    </row>
    <row r="900" spans="1:771 1026:1795 2050:2819 3074:3843 4098:4867 5122:5891 6146:6915 7170:7939 8194:8963 9218:9987 10242:11011 11266:12035 12290:13059 13314:14083 14338:15107 15362:16131" s="35" customFormat="1" ht="65.400000000000006" thickBot="1" x14ac:dyDescent="0.35">
      <c r="A900" s="53"/>
      <c r="B900" s="54"/>
      <c r="C900" s="55" t="s">
        <v>2331</v>
      </c>
      <c r="D900" s="56"/>
      <c r="E900" s="5"/>
      <c r="F900" s="6"/>
      <c r="G900" s="57"/>
      <c r="H900" s="58"/>
    </row>
    <row r="901" spans="1:771 1026:1795 2050:2819 3074:3843 4098:4867 5122:5891 6146:6915 7170:7939 8194:8963 9218:9987 10242:11011 11266:12035 12290:13059 13314:14083 14338:15107 15362:16131" s="59" customFormat="1" ht="31.8" thickBot="1" x14ac:dyDescent="0.35">
      <c r="A901" s="154"/>
      <c r="B901" s="155" t="s">
        <v>26</v>
      </c>
      <c r="C901" s="156"/>
      <c r="D901" s="154"/>
      <c r="E901" s="157"/>
      <c r="F901" s="158"/>
      <c r="G901" s="159">
        <f>SUM(G892:G900)/2</f>
        <v>167781558.39999998</v>
      </c>
      <c r="H901" s="160"/>
      <c r="IX901" s="35"/>
      <c r="IY901" s="35"/>
      <c r="ST901" s="35"/>
      <c r="SU901" s="35"/>
      <c r="ACP901" s="35"/>
      <c r="ACQ901" s="35"/>
      <c r="AML901" s="35"/>
      <c r="AMM901" s="35"/>
      <c r="AWH901" s="35"/>
      <c r="AWI901" s="35"/>
      <c r="BGD901" s="35"/>
      <c r="BGE901" s="35"/>
      <c r="BPZ901" s="35"/>
      <c r="BQA901" s="35"/>
      <c r="BZV901" s="35"/>
      <c r="BZW901" s="35"/>
      <c r="CJR901" s="35"/>
      <c r="CJS901" s="35"/>
      <c r="CTN901" s="35"/>
      <c r="CTO901" s="35"/>
      <c r="DDJ901" s="35"/>
      <c r="DDK901" s="35"/>
      <c r="DNF901" s="35"/>
      <c r="DNG901" s="35"/>
      <c r="DXB901" s="35"/>
      <c r="DXC901" s="35"/>
      <c r="EGX901" s="35"/>
      <c r="EGY901" s="35"/>
      <c r="EQT901" s="35"/>
      <c r="EQU901" s="35"/>
      <c r="FAP901" s="35"/>
      <c r="FAQ901" s="35"/>
      <c r="FKL901" s="35"/>
      <c r="FKM901" s="35"/>
      <c r="FUH901" s="35"/>
      <c r="FUI901" s="35"/>
      <c r="GED901" s="35"/>
      <c r="GEE901" s="35"/>
      <c r="GNZ901" s="35"/>
      <c r="GOA901" s="35"/>
      <c r="GXV901" s="35"/>
      <c r="GXW901" s="35"/>
      <c r="HHR901" s="35"/>
      <c r="HHS901" s="35"/>
      <c r="HRN901" s="35"/>
      <c r="HRO901" s="35"/>
      <c r="IBJ901" s="35"/>
      <c r="IBK901" s="35"/>
      <c r="ILF901" s="35"/>
      <c r="ILG901" s="35"/>
      <c r="IVB901" s="35"/>
      <c r="IVC901" s="35"/>
      <c r="JEX901" s="35"/>
      <c r="JEY901" s="35"/>
      <c r="JOT901" s="35"/>
      <c r="JOU901" s="35"/>
      <c r="JYP901" s="35"/>
      <c r="JYQ901" s="35"/>
      <c r="KIL901" s="35"/>
      <c r="KIM901" s="35"/>
      <c r="KSH901" s="35"/>
      <c r="KSI901" s="35"/>
      <c r="LCD901" s="35"/>
      <c r="LCE901" s="35"/>
      <c r="LLZ901" s="35"/>
      <c r="LMA901" s="35"/>
      <c r="LVV901" s="35"/>
      <c r="LVW901" s="35"/>
      <c r="MFR901" s="35"/>
      <c r="MFS901" s="35"/>
      <c r="MPN901" s="35"/>
      <c r="MPO901" s="35"/>
      <c r="MZJ901" s="35"/>
      <c r="MZK901" s="35"/>
      <c r="NJF901" s="35"/>
      <c r="NJG901" s="35"/>
      <c r="NTB901" s="35"/>
      <c r="NTC901" s="35"/>
      <c r="OCX901" s="35"/>
      <c r="OCY901" s="35"/>
      <c r="OMT901" s="35"/>
      <c r="OMU901" s="35"/>
      <c r="OWP901" s="35"/>
      <c r="OWQ901" s="35"/>
      <c r="PGL901" s="35"/>
      <c r="PGM901" s="35"/>
      <c r="PQH901" s="35"/>
      <c r="PQI901" s="35"/>
      <c r="QAD901" s="35"/>
      <c r="QAE901" s="35"/>
      <c r="QJZ901" s="35"/>
      <c r="QKA901" s="35"/>
      <c r="QTV901" s="35"/>
      <c r="QTW901" s="35"/>
      <c r="RDR901" s="35"/>
      <c r="RDS901" s="35"/>
      <c r="RNN901" s="35"/>
      <c r="RNO901" s="35"/>
      <c r="RXJ901" s="35"/>
      <c r="RXK901" s="35"/>
      <c r="SHF901" s="35"/>
      <c r="SHG901" s="35"/>
      <c r="SRB901" s="35"/>
      <c r="SRC901" s="35"/>
      <c r="TAX901" s="35"/>
      <c r="TAY901" s="35"/>
      <c r="TKT901" s="35"/>
      <c r="TKU901" s="35"/>
      <c r="TUP901" s="35"/>
      <c r="TUQ901" s="35"/>
      <c r="UEL901" s="35"/>
      <c r="UEM901" s="35"/>
      <c r="UOH901" s="35"/>
      <c r="UOI901" s="35"/>
      <c r="UYD901" s="35"/>
      <c r="UYE901" s="35"/>
      <c r="VHZ901" s="35"/>
      <c r="VIA901" s="35"/>
      <c r="VRV901" s="35"/>
      <c r="VRW901" s="35"/>
      <c r="WBR901" s="35"/>
      <c r="WBS901" s="35"/>
      <c r="WLN901" s="35"/>
      <c r="WLO901" s="35"/>
      <c r="WVJ901" s="35"/>
      <c r="WVK901" s="35"/>
    </row>
    <row r="902" spans="1:771 1026:1795 2050:2819 3074:3843 4098:4867 5122:5891 6146:6915 7170:7939 8194:8963 9218:9987 10242:11011 11266:12035 12290:13059 13314:14083 14338:15107 15362:16131" s="35" customFormat="1" ht="69" x14ac:dyDescent="0.3">
      <c r="A902" s="28">
        <v>81</v>
      </c>
      <c r="B902" s="29" t="s">
        <v>715</v>
      </c>
      <c r="C902" s="30" t="s">
        <v>2134</v>
      </c>
      <c r="D902" s="31" t="s">
        <v>13</v>
      </c>
      <c r="E902" s="32">
        <v>6.1</v>
      </c>
      <c r="F902" s="33"/>
      <c r="G902" s="33"/>
      <c r="H902" s="34" t="s">
        <v>719</v>
      </c>
    </row>
    <row r="903" spans="1:771 1026:1795 2050:2819 3074:3843 4098:4867 5122:5891 6146:6915 7170:7939 8194:8963 9218:9987 10242:11011 11266:12035 12290:13059 13314:14083 14338:15107 15362:16131" s="35" customFormat="1" x14ac:dyDescent="0.3">
      <c r="A903" s="36"/>
      <c r="B903" s="72" t="s">
        <v>716</v>
      </c>
      <c r="C903" s="38" t="s">
        <v>14</v>
      </c>
      <c r="D903" s="39"/>
      <c r="E903" s="44"/>
      <c r="F903" s="40"/>
      <c r="G903" s="41">
        <f>SUM(G904)</f>
        <v>118821900</v>
      </c>
      <c r="H903" s="42"/>
    </row>
    <row r="904" spans="1:771 1026:1795 2050:2819 3074:3843 4098:4867 5122:5891 6146:6915 7170:7939 8194:8963 9218:9987 10242:11011 11266:12035 12290:13059 13314:14083 14338:15107 15362:16131" s="35" customFormat="1" ht="62.4" x14ac:dyDescent="0.3">
      <c r="A904" s="36"/>
      <c r="B904" s="72" t="s">
        <v>717</v>
      </c>
      <c r="C904" s="48" t="s">
        <v>38</v>
      </c>
      <c r="D904" s="39" t="s">
        <v>13</v>
      </c>
      <c r="E904" s="44">
        <v>6.1</v>
      </c>
      <c r="F904" s="153">
        <v>19479000</v>
      </c>
      <c r="G904" s="40">
        <f>E904*F904</f>
        <v>118821900</v>
      </c>
      <c r="H904" s="42"/>
    </row>
    <row r="905" spans="1:771 1026:1795 2050:2819 3074:3843 4098:4867 5122:5891 6146:6915 7170:7939 8194:8963 9218:9987 10242:11011 11266:12035 12290:13059 13314:14083 14338:15107 15362:16131" s="35" customFormat="1" x14ac:dyDescent="0.3">
      <c r="A905" s="36"/>
      <c r="B905" s="72" t="s">
        <v>718</v>
      </c>
      <c r="C905" s="47" t="s">
        <v>35</v>
      </c>
      <c r="D905" s="39"/>
      <c r="E905" s="73"/>
      <c r="F905" s="40"/>
      <c r="G905" s="41">
        <f>SUM(G906)</f>
        <v>26858361.599999998</v>
      </c>
      <c r="H905" s="45"/>
    </row>
    <row r="906" spans="1:771 1026:1795 2050:2819 3074:3843 4098:4867 5122:5891 6146:6915 7170:7939 8194:8963 9218:9987 10242:11011 11266:12035 12290:13059 13314:14083 14338:15107 15362:16131" s="35" customFormat="1" ht="93.6" x14ac:dyDescent="0.3">
      <c r="A906" s="36"/>
      <c r="B906" s="50"/>
      <c r="C906" s="66" t="s">
        <v>720</v>
      </c>
      <c r="D906" s="39" t="s">
        <v>234</v>
      </c>
      <c r="E906" s="73">
        <f>2.03*2.88</f>
        <v>5.8463999999999992</v>
      </c>
      <c r="F906" s="74">
        <v>4594000</v>
      </c>
      <c r="G906" s="40">
        <f>E906*F906</f>
        <v>26858361.599999998</v>
      </c>
      <c r="H906" s="45" t="s">
        <v>2438</v>
      </c>
    </row>
    <row r="907" spans="1:771 1026:1795 2050:2819 3074:3843 4098:4867 5122:5891 6146:6915 7170:7939 8194:8963 9218:9987 10242:11011 11266:12035 12290:13059 13314:14083 14338:15107 15362:16131" s="35" customFormat="1" ht="65.400000000000006" thickBot="1" x14ac:dyDescent="0.35">
      <c r="A907" s="53"/>
      <c r="B907" s="54"/>
      <c r="C907" s="55" t="s">
        <v>2331</v>
      </c>
      <c r="D907" s="56"/>
      <c r="E907" s="5"/>
      <c r="F907" s="6"/>
      <c r="G907" s="57"/>
      <c r="H907" s="58"/>
    </row>
    <row r="908" spans="1:771 1026:1795 2050:2819 3074:3843 4098:4867 5122:5891 6146:6915 7170:7939 8194:8963 9218:9987 10242:11011 11266:12035 12290:13059 13314:14083 14338:15107 15362:16131" s="59" customFormat="1" ht="31.8" thickBot="1" x14ac:dyDescent="0.35">
      <c r="A908" s="154"/>
      <c r="B908" s="155" t="s">
        <v>26</v>
      </c>
      <c r="C908" s="156"/>
      <c r="D908" s="154"/>
      <c r="E908" s="157"/>
      <c r="F908" s="158"/>
      <c r="G908" s="159">
        <f>SUM(G902:G907)/2</f>
        <v>145680261.59999999</v>
      </c>
      <c r="H908" s="160"/>
      <c r="IX908" s="35"/>
      <c r="IY908" s="35"/>
      <c r="ST908" s="35"/>
      <c r="SU908" s="35"/>
      <c r="ACP908" s="35"/>
      <c r="ACQ908" s="35"/>
      <c r="AML908" s="35"/>
      <c r="AMM908" s="35"/>
      <c r="AWH908" s="35"/>
      <c r="AWI908" s="35"/>
      <c r="BGD908" s="35"/>
      <c r="BGE908" s="35"/>
      <c r="BPZ908" s="35"/>
      <c r="BQA908" s="35"/>
      <c r="BZV908" s="35"/>
      <c r="BZW908" s="35"/>
      <c r="CJR908" s="35"/>
      <c r="CJS908" s="35"/>
      <c r="CTN908" s="35"/>
      <c r="CTO908" s="35"/>
      <c r="DDJ908" s="35"/>
      <c r="DDK908" s="35"/>
      <c r="DNF908" s="35"/>
      <c r="DNG908" s="35"/>
      <c r="DXB908" s="35"/>
      <c r="DXC908" s="35"/>
      <c r="EGX908" s="35"/>
      <c r="EGY908" s="35"/>
      <c r="EQT908" s="35"/>
      <c r="EQU908" s="35"/>
      <c r="FAP908" s="35"/>
      <c r="FAQ908" s="35"/>
      <c r="FKL908" s="35"/>
      <c r="FKM908" s="35"/>
      <c r="FUH908" s="35"/>
      <c r="FUI908" s="35"/>
      <c r="GED908" s="35"/>
      <c r="GEE908" s="35"/>
      <c r="GNZ908" s="35"/>
      <c r="GOA908" s="35"/>
      <c r="GXV908" s="35"/>
      <c r="GXW908" s="35"/>
      <c r="HHR908" s="35"/>
      <c r="HHS908" s="35"/>
      <c r="HRN908" s="35"/>
      <c r="HRO908" s="35"/>
      <c r="IBJ908" s="35"/>
      <c r="IBK908" s="35"/>
      <c r="ILF908" s="35"/>
      <c r="ILG908" s="35"/>
      <c r="IVB908" s="35"/>
      <c r="IVC908" s="35"/>
      <c r="JEX908" s="35"/>
      <c r="JEY908" s="35"/>
      <c r="JOT908" s="35"/>
      <c r="JOU908" s="35"/>
      <c r="JYP908" s="35"/>
      <c r="JYQ908" s="35"/>
      <c r="KIL908" s="35"/>
      <c r="KIM908" s="35"/>
      <c r="KSH908" s="35"/>
      <c r="KSI908" s="35"/>
      <c r="LCD908" s="35"/>
      <c r="LCE908" s="35"/>
      <c r="LLZ908" s="35"/>
      <c r="LMA908" s="35"/>
      <c r="LVV908" s="35"/>
      <c r="LVW908" s="35"/>
      <c r="MFR908" s="35"/>
      <c r="MFS908" s="35"/>
      <c r="MPN908" s="35"/>
      <c r="MPO908" s="35"/>
      <c r="MZJ908" s="35"/>
      <c r="MZK908" s="35"/>
      <c r="NJF908" s="35"/>
      <c r="NJG908" s="35"/>
      <c r="NTB908" s="35"/>
      <c r="NTC908" s="35"/>
      <c r="OCX908" s="35"/>
      <c r="OCY908" s="35"/>
      <c r="OMT908" s="35"/>
      <c r="OMU908" s="35"/>
      <c r="OWP908" s="35"/>
      <c r="OWQ908" s="35"/>
      <c r="PGL908" s="35"/>
      <c r="PGM908" s="35"/>
      <c r="PQH908" s="35"/>
      <c r="PQI908" s="35"/>
      <c r="QAD908" s="35"/>
      <c r="QAE908" s="35"/>
      <c r="QJZ908" s="35"/>
      <c r="QKA908" s="35"/>
      <c r="QTV908" s="35"/>
      <c r="QTW908" s="35"/>
      <c r="RDR908" s="35"/>
      <c r="RDS908" s="35"/>
      <c r="RNN908" s="35"/>
      <c r="RNO908" s="35"/>
      <c r="RXJ908" s="35"/>
      <c r="RXK908" s="35"/>
      <c r="SHF908" s="35"/>
      <c r="SHG908" s="35"/>
      <c r="SRB908" s="35"/>
      <c r="SRC908" s="35"/>
      <c r="TAX908" s="35"/>
      <c r="TAY908" s="35"/>
      <c r="TKT908" s="35"/>
      <c r="TKU908" s="35"/>
      <c r="TUP908" s="35"/>
      <c r="TUQ908" s="35"/>
      <c r="UEL908" s="35"/>
      <c r="UEM908" s="35"/>
      <c r="UOH908" s="35"/>
      <c r="UOI908" s="35"/>
      <c r="UYD908" s="35"/>
      <c r="UYE908" s="35"/>
      <c r="VHZ908" s="35"/>
      <c r="VIA908" s="35"/>
      <c r="VRV908" s="35"/>
      <c r="VRW908" s="35"/>
      <c r="WBR908" s="35"/>
      <c r="WBS908" s="35"/>
      <c r="WLN908" s="35"/>
      <c r="WLO908" s="35"/>
      <c r="WVJ908" s="35"/>
      <c r="WVK908" s="35"/>
    </row>
    <row r="909" spans="1:771 1026:1795 2050:2819 3074:3843 4098:4867 5122:5891 6146:6915 7170:7939 8194:8963 9218:9987 10242:11011 11266:12035 12290:13059 13314:14083 14338:15107 15362:16131" s="35" customFormat="1" ht="55.2" x14ac:dyDescent="0.3">
      <c r="A909" s="28">
        <v>82</v>
      </c>
      <c r="B909" s="29" t="s">
        <v>721</v>
      </c>
      <c r="C909" s="30" t="s">
        <v>726</v>
      </c>
      <c r="D909" s="31" t="s">
        <v>13</v>
      </c>
      <c r="E909" s="32">
        <v>8.9</v>
      </c>
      <c r="F909" s="33"/>
      <c r="G909" s="33"/>
      <c r="H909" s="34" t="s">
        <v>725</v>
      </c>
    </row>
    <row r="910" spans="1:771 1026:1795 2050:2819 3074:3843 4098:4867 5122:5891 6146:6915 7170:7939 8194:8963 9218:9987 10242:11011 11266:12035 12290:13059 13314:14083 14338:15107 15362:16131" s="35" customFormat="1" x14ac:dyDescent="0.3">
      <c r="A910" s="36"/>
      <c r="B910" s="72" t="s">
        <v>722</v>
      </c>
      <c r="C910" s="38" t="s">
        <v>14</v>
      </c>
      <c r="D910" s="39"/>
      <c r="E910" s="44"/>
      <c r="F910" s="40"/>
      <c r="G910" s="41">
        <f>SUM(G911)</f>
        <v>173363100</v>
      </c>
      <c r="H910" s="42"/>
    </row>
    <row r="911" spans="1:771 1026:1795 2050:2819 3074:3843 4098:4867 5122:5891 6146:6915 7170:7939 8194:8963 9218:9987 10242:11011 11266:12035 12290:13059 13314:14083 14338:15107 15362:16131" s="35" customFormat="1" ht="62.4" x14ac:dyDescent="0.3">
      <c r="A911" s="36"/>
      <c r="B911" s="72" t="s">
        <v>723</v>
      </c>
      <c r="C911" s="48" t="s">
        <v>38</v>
      </c>
      <c r="D911" s="39" t="s">
        <v>13</v>
      </c>
      <c r="E911" s="44">
        <v>8.9</v>
      </c>
      <c r="F911" s="153">
        <v>19479000</v>
      </c>
      <c r="G911" s="40">
        <f>E911*F911</f>
        <v>173363100</v>
      </c>
      <c r="H911" s="42"/>
    </row>
    <row r="912" spans="1:771 1026:1795 2050:2819 3074:3843 4098:4867 5122:5891 6146:6915 7170:7939 8194:8963 9218:9987 10242:11011 11266:12035 12290:13059 13314:14083 14338:15107 15362:16131" s="35" customFormat="1" x14ac:dyDescent="0.3">
      <c r="A912" s="36"/>
      <c r="B912" s="72" t="s">
        <v>724</v>
      </c>
      <c r="C912" s="47" t="s">
        <v>35</v>
      </c>
      <c r="D912" s="39"/>
      <c r="E912" s="73"/>
      <c r="F912" s="40"/>
      <c r="G912" s="41">
        <f>SUM(G913:G914)</f>
        <v>111281040</v>
      </c>
      <c r="H912" s="45"/>
    </row>
    <row r="913" spans="1:771 1026:1795 2050:2819 3074:3843 4098:4867 5122:5891 6146:6915 7170:7939 8194:8963 9218:9987 10242:11011 11266:12035 12290:13059 13314:14083 14338:15107 15362:16131" s="35" customFormat="1" ht="109.2" x14ac:dyDescent="0.3">
      <c r="A913" s="36"/>
      <c r="B913" s="50"/>
      <c r="C913" s="66" t="s">
        <v>2131</v>
      </c>
      <c r="D913" s="39" t="s">
        <v>234</v>
      </c>
      <c r="E913" s="73">
        <v>17.46</v>
      </c>
      <c r="F913" s="74">
        <v>5284000</v>
      </c>
      <c r="G913" s="40">
        <f>E913*F913</f>
        <v>92258640</v>
      </c>
      <c r="H913" s="45" t="s">
        <v>2439</v>
      </c>
    </row>
    <row r="914" spans="1:771 1026:1795 2050:2819 3074:3843 4098:4867 5122:5891 6146:6915 7170:7939 8194:8963 9218:9987 10242:11011 11266:12035 12290:13059 13314:14083 14338:15107 15362:16131" s="35" customFormat="1" x14ac:dyDescent="0.3">
      <c r="A914" s="36"/>
      <c r="B914" s="50"/>
      <c r="C914" s="66" t="s">
        <v>689</v>
      </c>
      <c r="D914" s="39" t="s">
        <v>234</v>
      </c>
      <c r="E914" s="73">
        <f>0.9*4</f>
        <v>3.6</v>
      </c>
      <c r="F914" s="74">
        <v>5284000</v>
      </c>
      <c r="G914" s="40">
        <f>E914*F914</f>
        <v>19022400</v>
      </c>
      <c r="H914" s="45" t="s">
        <v>2375</v>
      </c>
    </row>
    <row r="915" spans="1:771 1026:1795 2050:2819 3074:3843 4098:4867 5122:5891 6146:6915 7170:7939 8194:8963 9218:9987 10242:11011 11266:12035 12290:13059 13314:14083 14338:15107 15362:16131" s="35" customFormat="1" ht="65.400000000000006" thickBot="1" x14ac:dyDescent="0.35">
      <c r="A915" s="53"/>
      <c r="B915" s="54"/>
      <c r="C915" s="55" t="s">
        <v>2331</v>
      </c>
      <c r="D915" s="56"/>
      <c r="E915" s="5"/>
      <c r="F915" s="6"/>
      <c r="G915" s="57"/>
      <c r="H915" s="58"/>
    </row>
    <row r="916" spans="1:771 1026:1795 2050:2819 3074:3843 4098:4867 5122:5891 6146:6915 7170:7939 8194:8963 9218:9987 10242:11011 11266:12035 12290:13059 13314:14083 14338:15107 15362:16131" s="59" customFormat="1" ht="31.8" thickBot="1" x14ac:dyDescent="0.35">
      <c r="A916" s="154"/>
      <c r="B916" s="155" t="s">
        <v>26</v>
      </c>
      <c r="C916" s="156"/>
      <c r="D916" s="154"/>
      <c r="E916" s="157"/>
      <c r="F916" s="158"/>
      <c r="G916" s="159">
        <f>SUM(G909:G915)/2</f>
        <v>284644140</v>
      </c>
      <c r="H916" s="160"/>
      <c r="IX916" s="35"/>
      <c r="IY916" s="35"/>
      <c r="ST916" s="35"/>
      <c r="SU916" s="35"/>
      <c r="ACP916" s="35"/>
      <c r="ACQ916" s="35"/>
      <c r="AML916" s="35"/>
      <c r="AMM916" s="35"/>
      <c r="AWH916" s="35"/>
      <c r="AWI916" s="35"/>
      <c r="BGD916" s="35"/>
      <c r="BGE916" s="35"/>
      <c r="BPZ916" s="35"/>
      <c r="BQA916" s="35"/>
      <c r="BZV916" s="35"/>
      <c r="BZW916" s="35"/>
      <c r="CJR916" s="35"/>
      <c r="CJS916" s="35"/>
      <c r="CTN916" s="35"/>
      <c r="CTO916" s="35"/>
      <c r="DDJ916" s="35"/>
      <c r="DDK916" s="35"/>
      <c r="DNF916" s="35"/>
      <c r="DNG916" s="35"/>
      <c r="DXB916" s="35"/>
      <c r="DXC916" s="35"/>
      <c r="EGX916" s="35"/>
      <c r="EGY916" s="35"/>
      <c r="EQT916" s="35"/>
      <c r="EQU916" s="35"/>
      <c r="FAP916" s="35"/>
      <c r="FAQ916" s="35"/>
      <c r="FKL916" s="35"/>
      <c r="FKM916" s="35"/>
      <c r="FUH916" s="35"/>
      <c r="FUI916" s="35"/>
      <c r="GED916" s="35"/>
      <c r="GEE916" s="35"/>
      <c r="GNZ916" s="35"/>
      <c r="GOA916" s="35"/>
      <c r="GXV916" s="35"/>
      <c r="GXW916" s="35"/>
      <c r="HHR916" s="35"/>
      <c r="HHS916" s="35"/>
      <c r="HRN916" s="35"/>
      <c r="HRO916" s="35"/>
      <c r="IBJ916" s="35"/>
      <c r="IBK916" s="35"/>
      <c r="ILF916" s="35"/>
      <c r="ILG916" s="35"/>
      <c r="IVB916" s="35"/>
      <c r="IVC916" s="35"/>
      <c r="JEX916" s="35"/>
      <c r="JEY916" s="35"/>
      <c r="JOT916" s="35"/>
      <c r="JOU916" s="35"/>
      <c r="JYP916" s="35"/>
      <c r="JYQ916" s="35"/>
      <c r="KIL916" s="35"/>
      <c r="KIM916" s="35"/>
      <c r="KSH916" s="35"/>
      <c r="KSI916" s="35"/>
      <c r="LCD916" s="35"/>
      <c r="LCE916" s="35"/>
      <c r="LLZ916" s="35"/>
      <c r="LMA916" s="35"/>
      <c r="LVV916" s="35"/>
      <c r="LVW916" s="35"/>
      <c r="MFR916" s="35"/>
      <c r="MFS916" s="35"/>
      <c r="MPN916" s="35"/>
      <c r="MPO916" s="35"/>
      <c r="MZJ916" s="35"/>
      <c r="MZK916" s="35"/>
      <c r="NJF916" s="35"/>
      <c r="NJG916" s="35"/>
      <c r="NTB916" s="35"/>
      <c r="NTC916" s="35"/>
      <c r="OCX916" s="35"/>
      <c r="OCY916" s="35"/>
      <c r="OMT916" s="35"/>
      <c r="OMU916" s="35"/>
      <c r="OWP916" s="35"/>
      <c r="OWQ916" s="35"/>
      <c r="PGL916" s="35"/>
      <c r="PGM916" s="35"/>
      <c r="PQH916" s="35"/>
      <c r="PQI916" s="35"/>
      <c r="QAD916" s="35"/>
      <c r="QAE916" s="35"/>
      <c r="QJZ916" s="35"/>
      <c r="QKA916" s="35"/>
      <c r="QTV916" s="35"/>
      <c r="QTW916" s="35"/>
      <c r="RDR916" s="35"/>
      <c r="RDS916" s="35"/>
      <c r="RNN916" s="35"/>
      <c r="RNO916" s="35"/>
      <c r="RXJ916" s="35"/>
      <c r="RXK916" s="35"/>
      <c r="SHF916" s="35"/>
      <c r="SHG916" s="35"/>
      <c r="SRB916" s="35"/>
      <c r="SRC916" s="35"/>
      <c r="TAX916" s="35"/>
      <c r="TAY916" s="35"/>
      <c r="TKT916" s="35"/>
      <c r="TKU916" s="35"/>
      <c r="TUP916" s="35"/>
      <c r="TUQ916" s="35"/>
      <c r="UEL916" s="35"/>
      <c r="UEM916" s="35"/>
      <c r="UOH916" s="35"/>
      <c r="UOI916" s="35"/>
      <c r="UYD916" s="35"/>
      <c r="UYE916" s="35"/>
      <c r="VHZ916" s="35"/>
      <c r="VIA916" s="35"/>
      <c r="VRV916" s="35"/>
      <c r="VRW916" s="35"/>
      <c r="WBR916" s="35"/>
      <c r="WBS916" s="35"/>
      <c r="WLN916" s="35"/>
      <c r="WLO916" s="35"/>
      <c r="WVJ916" s="35"/>
      <c r="WVK916" s="35"/>
    </row>
    <row r="917" spans="1:771 1026:1795 2050:2819 3074:3843 4098:4867 5122:5891 6146:6915 7170:7939 8194:8963 9218:9987 10242:11011 11266:12035 12290:13059 13314:14083 14338:15107 15362:16131" s="35" customFormat="1" ht="41.4" x14ac:dyDescent="0.3">
      <c r="A917" s="28">
        <v>83</v>
      </c>
      <c r="B917" s="29" t="s">
        <v>727</v>
      </c>
      <c r="C917" s="30" t="s">
        <v>730</v>
      </c>
      <c r="D917" s="31" t="s">
        <v>13</v>
      </c>
      <c r="E917" s="32">
        <v>8.1</v>
      </c>
      <c r="F917" s="33"/>
      <c r="G917" s="33"/>
      <c r="H917" s="34" t="s">
        <v>731</v>
      </c>
    </row>
    <row r="918" spans="1:771 1026:1795 2050:2819 3074:3843 4098:4867 5122:5891 6146:6915 7170:7939 8194:8963 9218:9987 10242:11011 11266:12035 12290:13059 13314:14083 14338:15107 15362:16131" s="35" customFormat="1" x14ac:dyDescent="0.3">
      <c r="A918" s="36"/>
      <c r="B918" s="72" t="s">
        <v>728</v>
      </c>
      <c r="C918" s="38" t="s">
        <v>14</v>
      </c>
      <c r="D918" s="39"/>
      <c r="E918" s="44"/>
      <c r="F918" s="40"/>
      <c r="G918" s="41">
        <f>SUM(G919)</f>
        <v>157779900</v>
      </c>
      <c r="H918" s="42"/>
    </row>
    <row r="919" spans="1:771 1026:1795 2050:2819 3074:3843 4098:4867 5122:5891 6146:6915 7170:7939 8194:8963 9218:9987 10242:11011 11266:12035 12290:13059 13314:14083 14338:15107 15362:16131" s="35" customFormat="1" ht="62.4" x14ac:dyDescent="0.3">
      <c r="A919" s="36"/>
      <c r="B919" s="72" t="s">
        <v>729</v>
      </c>
      <c r="C919" s="48" t="s">
        <v>38</v>
      </c>
      <c r="D919" s="39" t="s">
        <v>13</v>
      </c>
      <c r="E919" s="44">
        <v>8.1</v>
      </c>
      <c r="F919" s="161">
        <v>19479000</v>
      </c>
      <c r="G919" s="40">
        <f>E919*F919</f>
        <v>157779900</v>
      </c>
      <c r="H919" s="42"/>
    </row>
    <row r="920" spans="1:771 1026:1795 2050:2819 3074:3843 4098:4867 5122:5891 6146:6915 7170:7939 8194:8963 9218:9987 10242:11011 11266:12035 12290:13059 13314:14083 14338:15107 15362:16131" s="35" customFormat="1" x14ac:dyDescent="0.3">
      <c r="A920" s="36"/>
      <c r="B920" s="50"/>
      <c r="C920" s="47" t="s">
        <v>35</v>
      </c>
      <c r="D920" s="39"/>
      <c r="E920" s="73"/>
      <c r="F920" s="40"/>
      <c r="G920" s="41">
        <f>SUM(G921:G923)</f>
        <v>76724788</v>
      </c>
      <c r="H920" s="45"/>
    </row>
    <row r="921" spans="1:771 1026:1795 2050:2819 3074:3843 4098:4867 5122:5891 6146:6915 7170:7939 8194:8963 9218:9987 10242:11011 11266:12035 12290:13059 13314:14083 14338:15107 15362:16131" s="35" customFormat="1" ht="96.6" x14ac:dyDescent="0.3">
      <c r="A921" s="36"/>
      <c r="B921" s="50"/>
      <c r="C921" s="101" t="s">
        <v>732</v>
      </c>
      <c r="D921" s="39" t="s">
        <v>234</v>
      </c>
      <c r="E921" s="73">
        <f>6.991+6.991+2.37</f>
        <v>16.352</v>
      </c>
      <c r="F921" s="74">
        <v>4594000</v>
      </c>
      <c r="G921" s="40">
        <f>E921*F921</f>
        <v>75121088</v>
      </c>
      <c r="H921" s="45" t="s">
        <v>2440</v>
      </c>
    </row>
    <row r="922" spans="1:771 1026:1795 2050:2819 3074:3843 4098:4867 5122:5891 6146:6915 7170:7939 8194:8963 9218:9987 10242:11011 11266:12035 12290:13059 13314:14083 14338:15107 15362:16131" s="35" customFormat="1" x14ac:dyDescent="0.3">
      <c r="A922" s="36"/>
      <c r="B922" s="50"/>
      <c r="C922" s="66" t="s">
        <v>305</v>
      </c>
      <c r="D922" s="39" t="s">
        <v>234</v>
      </c>
      <c r="E922" s="73">
        <v>11.455</v>
      </c>
      <c r="F922" s="40">
        <v>140000</v>
      </c>
      <c r="G922" s="40">
        <f>E922*F922</f>
        <v>1603700</v>
      </c>
      <c r="H922" s="45"/>
    </row>
    <row r="923" spans="1:771 1026:1795 2050:2819 3074:3843 4098:4867 5122:5891 6146:6915 7170:7939 8194:8963 9218:9987 10242:11011 11266:12035 12290:13059 13314:14083 14338:15107 15362:16131" s="35" customFormat="1" ht="65.400000000000006" thickBot="1" x14ac:dyDescent="0.35">
      <c r="A923" s="53"/>
      <c r="B923" s="54"/>
      <c r="C923" s="55" t="s">
        <v>2331</v>
      </c>
      <c r="D923" s="56"/>
      <c r="E923" s="5"/>
      <c r="F923" s="6"/>
      <c r="G923" s="57"/>
      <c r="H923" s="58"/>
    </row>
    <row r="924" spans="1:771 1026:1795 2050:2819 3074:3843 4098:4867 5122:5891 6146:6915 7170:7939 8194:8963 9218:9987 10242:11011 11266:12035 12290:13059 13314:14083 14338:15107 15362:16131" s="59" customFormat="1" ht="31.8" thickBot="1" x14ac:dyDescent="0.35">
      <c r="A924" s="154"/>
      <c r="B924" s="155" t="s">
        <v>26</v>
      </c>
      <c r="C924" s="156"/>
      <c r="D924" s="154"/>
      <c r="E924" s="157"/>
      <c r="F924" s="158"/>
      <c r="G924" s="159">
        <f>SUM(G917:G923)/2</f>
        <v>234504688</v>
      </c>
      <c r="H924" s="160"/>
      <c r="IX924" s="35"/>
      <c r="IY924" s="35"/>
      <c r="ST924" s="35"/>
      <c r="SU924" s="35"/>
      <c r="ACP924" s="35"/>
      <c r="ACQ924" s="35"/>
      <c r="AML924" s="35"/>
      <c r="AMM924" s="35"/>
      <c r="AWH924" s="35"/>
      <c r="AWI924" s="35"/>
      <c r="BGD924" s="35"/>
      <c r="BGE924" s="35"/>
      <c r="BPZ924" s="35"/>
      <c r="BQA924" s="35"/>
      <c r="BZV924" s="35"/>
      <c r="BZW924" s="35"/>
      <c r="CJR924" s="35"/>
      <c r="CJS924" s="35"/>
      <c r="CTN924" s="35"/>
      <c r="CTO924" s="35"/>
      <c r="DDJ924" s="35"/>
      <c r="DDK924" s="35"/>
      <c r="DNF924" s="35"/>
      <c r="DNG924" s="35"/>
      <c r="DXB924" s="35"/>
      <c r="DXC924" s="35"/>
      <c r="EGX924" s="35"/>
      <c r="EGY924" s="35"/>
      <c r="EQT924" s="35"/>
      <c r="EQU924" s="35"/>
      <c r="FAP924" s="35"/>
      <c r="FAQ924" s="35"/>
      <c r="FKL924" s="35"/>
      <c r="FKM924" s="35"/>
      <c r="FUH924" s="35"/>
      <c r="FUI924" s="35"/>
      <c r="GED924" s="35"/>
      <c r="GEE924" s="35"/>
      <c r="GNZ924" s="35"/>
      <c r="GOA924" s="35"/>
      <c r="GXV924" s="35"/>
      <c r="GXW924" s="35"/>
      <c r="HHR924" s="35"/>
      <c r="HHS924" s="35"/>
      <c r="HRN924" s="35"/>
      <c r="HRO924" s="35"/>
      <c r="IBJ924" s="35"/>
      <c r="IBK924" s="35"/>
      <c r="ILF924" s="35"/>
      <c r="ILG924" s="35"/>
      <c r="IVB924" s="35"/>
      <c r="IVC924" s="35"/>
      <c r="JEX924" s="35"/>
      <c r="JEY924" s="35"/>
      <c r="JOT924" s="35"/>
      <c r="JOU924" s="35"/>
      <c r="JYP924" s="35"/>
      <c r="JYQ924" s="35"/>
      <c r="KIL924" s="35"/>
      <c r="KIM924" s="35"/>
      <c r="KSH924" s="35"/>
      <c r="KSI924" s="35"/>
      <c r="LCD924" s="35"/>
      <c r="LCE924" s="35"/>
      <c r="LLZ924" s="35"/>
      <c r="LMA924" s="35"/>
      <c r="LVV924" s="35"/>
      <c r="LVW924" s="35"/>
      <c r="MFR924" s="35"/>
      <c r="MFS924" s="35"/>
      <c r="MPN924" s="35"/>
      <c r="MPO924" s="35"/>
      <c r="MZJ924" s="35"/>
      <c r="MZK924" s="35"/>
      <c r="NJF924" s="35"/>
      <c r="NJG924" s="35"/>
      <c r="NTB924" s="35"/>
      <c r="NTC924" s="35"/>
      <c r="OCX924" s="35"/>
      <c r="OCY924" s="35"/>
      <c r="OMT924" s="35"/>
      <c r="OMU924" s="35"/>
      <c r="OWP924" s="35"/>
      <c r="OWQ924" s="35"/>
      <c r="PGL924" s="35"/>
      <c r="PGM924" s="35"/>
      <c r="PQH924" s="35"/>
      <c r="PQI924" s="35"/>
      <c r="QAD924" s="35"/>
      <c r="QAE924" s="35"/>
      <c r="QJZ924" s="35"/>
      <c r="QKA924" s="35"/>
      <c r="QTV924" s="35"/>
      <c r="QTW924" s="35"/>
      <c r="RDR924" s="35"/>
      <c r="RDS924" s="35"/>
      <c r="RNN924" s="35"/>
      <c r="RNO924" s="35"/>
      <c r="RXJ924" s="35"/>
      <c r="RXK924" s="35"/>
      <c r="SHF924" s="35"/>
      <c r="SHG924" s="35"/>
      <c r="SRB924" s="35"/>
      <c r="SRC924" s="35"/>
      <c r="TAX924" s="35"/>
      <c r="TAY924" s="35"/>
      <c r="TKT924" s="35"/>
      <c r="TKU924" s="35"/>
      <c r="TUP924" s="35"/>
      <c r="TUQ924" s="35"/>
      <c r="UEL924" s="35"/>
      <c r="UEM924" s="35"/>
      <c r="UOH924" s="35"/>
      <c r="UOI924" s="35"/>
      <c r="UYD924" s="35"/>
      <c r="UYE924" s="35"/>
      <c r="VHZ924" s="35"/>
      <c r="VIA924" s="35"/>
      <c r="VRV924" s="35"/>
      <c r="VRW924" s="35"/>
      <c r="WBR924" s="35"/>
      <c r="WBS924" s="35"/>
      <c r="WLN924" s="35"/>
      <c r="WLO924" s="35"/>
      <c r="WVJ924" s="35"/>
      <c r="WVK924" s="35"/>
    </row>
    <row r="925" spans="1:771 1026:1795 2050:2819 3074:3843 4098:4867 5122:5891 6146:6915 7170:7939 8194:8963 9218:9987 10242:11011 11266:12035 12290:13059 13314:14083 14338:15107 15362:16131" s="35" customFormat="1" ht="55.2" x14ac:dyDescent="0.3">
      <c r="A925" s="28">
        <v>84</v>
      </c>
      <c r="B925" s="29" t="s">
        <v>733</v>
      </c>
      <c r="C925" s="30" t="s">
        <v>737</v>
      </c>
      <c r="D925" s="31" t="s">
        <v>13</v>
      </c>
      <c r="E925" s="32">
        <v>6.1</v>
      </c>
      <c r="F925" s="33"/>
      <c r="G925" s="33"/>
      <c r="H925" s="34" t="s">
        <v>738</v>
      </c>
    </row>
    <row r="926" spans="1:771 1026:1795 2050:2819 3074:3843 4098:4867 5122:5891 6146:6915 7170:7939 8194:8963 9218:9987 10242:11011 11266:12035 12290:13059 13314:14083 14338:15107 15362:16131" s="35" customFormat="1" x14ac:dyDescent="0.3">
      <c r="A926" s="36"/>
      <c r="B926" s="72" t="s">
        <v>734</v>
      </c>
      <c r="C926" s="38" t="s">
        <v>14</v>
      </c>
      <c r="D926" s="39"/>
      <c r="E926" s="44"/>
      <c r="F926" s="40"/>
      <c r="G926" s="41">
        <f>SUM(G927)</f>
        <v>118821900</v>
      </c>
      <c r="H926" s="42"/>
    </row>
    <row r="927" spans="1:771 1026:1795 2050:2819 3074:3843 4098:4867 5122:5891 6146:6915 7170:7939 8194:8963 9218:9987 10242:11011 11266:12035 12290:13059 13314:14083 14338:15107 15362:16131" s="35" customFormat="1" ht="46.8" x14ac:dyDescent="0.3">
      <c r="A927" s="36"/>
      <c r="B927" s="72" t="s">
        <v>736</v>
      </c>
      <c r="C927" s="48" t="s">
        <v>38</v>
      </c>
      <c r="D927" s="39" t="s">
        <v>13</v>
      </c>
      <c r="E927" s="44">
        <v>6.1</v>
      </c>
      <c r="F927" s="161">
        <v>19479000</v>
      </c>
      <c r="G927" s="40">
        <f>E927*F927</f>
        <v>118821900</v>
      </c>
      <c r="H927" s="42"/>
    </row>
    <row r="928" spans="1:771 1026:1795 2050:2819 3074:3843 4098:4867 5122:5891 6146:6915 7170:7939 8194:8963 9218:9987 10242:11011 11266:12035 12290:13059 13314:14083 14338:15107 15362:16131" s="35" customFormat="1" x14ac:dyDescent="0.3">
      <c r="A928" s="36"/>
      <c r="B928" s="72" t="s">
        <v>735</v>
      </c>
      <c r="C928" s="47" t="s">
        <v>35</v>
      </c>
      <c r="D928" s="39"/>
      <c r="E928" s="73"/>
      <c r="F928" s="40"/>
      <c r="G928" s="41">
        <f>SUM(G929)</f>
        <v>9057012.4799999986</v>
      </c>
      <c r="H928" s="45"/>
    </row>
    <row r="929" spans="1:771 1026:1795 2050:2819 3074:3843 4098:4867 5122:5891 6146:6915 7170:7939 8194:8963 9218:9987 10242:11011 11266:12035 12290:13059 13314:14083 14338:15107 15362:16131" s="35" customFormat="1" ht="109.2" x14ac:dyDescent="0.3">
      <c r="A929" s="36"/>
      <c r="B929" s="50"/>
      <c r="C929" s="66" t="s">
        <v>739</v>
      </c>
      <c r="D929" s="39" t="s">
        <v>234</v>
      </c>
      <c r="E929" s="73">
        <f>2.04*3.09</f>
        <v>6.3035999999999994</v>
      </c>
      <c r="F929" s="74">
        <f>3592000*40%</f>
        <v>1436800</v>
      </c>
      <c r="G929" s="40">
        <f>E929*F929</f>
        <v>9057012.4799999986</v>
      </c>
      <c r="H929" s="45" t="s">
        <v>2441</v>
      </c>
    </row>
    <row r="930" spans="1:771 1026:1795 2050:2819 3074:3843 4098:4867 5122:5891 6146:6915 7170:7939 8194:8963 9218:9987 10242:11011 11266:12035 12290:13059 13314:14083 14338:15107 15362:16131" s="35" customFormat="1" ht="65.400000000000006" thickBot="1" x14ac:dyDescent="0.35">
      <c r="A930" s="53"/>
      <c r="B930" s="54"/>
      <c r="C930" s="55" t="s">
        <v>2331</v>
      </c>
      <c r="D930" s="56"/>
      <c r="E930" s="5"/>
      <c r="F930" s="6"/>
      <c r="G930" s="57"/>
      <c r="H930" s="58"/>
    </row>
    <row r="931" spans="1:771 1026:1795 2050:2819 3074:3843 4098:4867 5122:5891 6146:6915 7170:7939 8194:8963 9218:9987 10242:11011 11266:12035 12290:13059 13314:14083 14338:15107 15362:16131" s="59" customFormat="1" ht="31.8" thickBot="1" x14ac:dyDescent="0.35">
      <c r="A931" s="154"/>
      <c r="B931" s="155" t="s">
        <v>26</v>
      </c>
      <c r="C931" s="156"/>
      <c r="D931" s="154"/>
      <c r="E931" s="157"/>
      <c r="F931" s="158"/>
      <c r="G931" s="159">
        <f>SUM(G925:G930)/2</f>
        <v>127878912.47999999</v>
      </c>
      <c r="H931" s="160"/>
      <c r="IX931" s="35"/>
      <c r="IY931" s="35"/>
      <c r="ST931" s="35"/>
      <c r="SU931" s="35"/>
      <c r="ACP931" s="35"/>
      <c r="ACQ931" s="35"/>
      <c r="AML931" s="35"/>
      <c r="AMM931" s="35"/>
      <c r="AWH931" s="35"/>
      <c r="AWI931" s="35"/>
      <c r="BGD931" s="35"/>
      <c r="BGE931" s="35"/>
      <c r="BPZ931" s="35"/>
      <c r="BQA931" s="35"/>
      <c r="BZV931" s="35"/>
      <c r="BZW931" s="35"/>
      <c r="CJR931" s="35"/>
      <c r="CJS931" s="35"/>
      <c r="CTN931" s="35"/>
      <c r="CTO931" s="35"/>
      <c r="DDJ931" s="35"/>
      <c r="DDK931" s="35"/>
      <c r="DNF931" s="35"/>
      <c r="DNG931" s="35"/>
      <c r="DXB931" s="35"/>
      <c r="DXC931" s="35"/>
      <c r="EGX931" s="35"/>
      <c r="EGY931" s="35"/>
      <c r="EQT931" s="35"/>
      <c r="EQU931" s="35"/>
      <c r="FAP931" s="35"/>
      <c r="FAQ931" s="35"/>
      <c r="FKL931" s="35"/>
      <c r="FKM931" s="35"/>
      <c r="FUH931" s="35"/>
      <c r="FUI931" s="35"/>
      <c r="GED931" s="35"/>
      <c r="GEE931" s="35"/>
      <c r="GNZ931" s="35"/>
      <c r="GOA931" s="35"/>
      <c r="GXV931" s="35"/>
      <c r="GXW931" s="35"/>
      <c r="HHR931" s="35"/>
      <c r="HHS931" s="35"/>
      <c r="HRN931" s="35"/>
      <c r="HRO931" s="35"/>
      <c r="IBJ931" s="35"/>
      <c r="IBK931" s="35"/>
      <c r="ILF931" s="35"/>
      <c r="ILG931" s="35"/>
      <c r="IVB931" s="35"/>
      <c r="IVC931" s="35"/>
      <c r="JEX931" s="35"/>
      <c r="JEY931" s="35"/>
      <c r="JOT931" s="35"/>
      <c r="JOU931" s="35"/>
      <c r="JYP931" s="35"/>
      <c r="JYQ931" s="35"/>
      <c r="KIL931" s="35"/>
      <c r="KIM931" s="35"/>
      <c r="KSH931" s="35"/>
      <c r="KSI931" s="35"/>
      <c r="LCD931" s="35"/>
      <c r="LCE931" s="35"/>
      <c r="LLZ931" s="35"/>
      <c r="LMA931" s="35"/>
      <c r="LVV931" s="35"/>
      <c r="LVW931" s="35"/>
      <c r="MFR931" s="35"/>
      <c r="MFS931" s="35"/>
      <c r="MPN931" s="35"/>
      <c r="MPO931" s="35"/>
      <c r="MZJ931" s="35"/>
      <c r="MZK931" s="35"/>
      <c r="NJF931" s="35"/>
      <c r="NJG931" s="35"/>
      <c r="NTB931" s="35"/>
      <c r="NTC931" s="35"/>
      <c r="OCX931" s="35"/>
      <c r="OCY931" s="35"/>
      <c r="OMT931" s="35"/>
      <c r="OMU931" s="35"/>
      <c r="OWP931" s="35"/>
      <c r="OWQ931" s="35"/>
      <c r="PGL931" s="35"/>
      <c r="PGM931" s="35"/>
      <c r="PQH931" s="35"/>
      <c r="PQI931" s="35"/>
      <c r="QAD931" s="35"/>
      <c r="QAE931" s="35"/>
      <c r="QJZ931" s="35"/>
      <c r="QKA931" s="35"/>
      <c r="QTV931" s="35"/>
      <c r="QTW931" s="35"/>
      <c r="RDR931" s="35"/>
      <c r="RDS931" s="35"/>
      <c r="RNN931" s="35"/>
      <c r="RNO931" s="35"/>
      <c r="RXJ931" s="35"/>
      <c r="RXK931" s="35"/>
      <c r="SHF931" s="35"/>
      <c r="SHG931" s="35"/>
      <c r="SRB931" s="35"/>
      <c r="SRC931" s="35"/>
      <c r="TAX931" s="35"/>
      <c r="TAY931" s="35"/>
      <c r="TKT931" s="35"/>
      <c r="TKU931" s="35"/>
      <c r="TUP931" s="35"/>
      <c r="TUQ931" s="35"/>
      <c r="UEL931" s="35"/>
      <c r="UEM931" s="35"/>
      <c r="UOH931" s="35"/>
      <c r="UOI931" s="35"/>
      <c r="UYD931" s="35"/>
      <c r="UYE931" s="35"/>
      <c r="VHZ931" s="35"/>
      <c r="VIA931" s="35"/>
      <c r="VRV931" s="35"/>
      <c r="VRW931" s="35"/>
      <c r="WBR931" s="35"/>
      <c r="WBS931" s="35"/>
      <c r="WLN931" s="35"/>
      <c r="WLO931" s="35"/>
      <c r="WVJ931" s="35"/>
      <c r="WVK931" s="35"/>
    </row>
    <row r="932" spans="1:771 1026:1795 2050:2819 3074:3843 4098:4867 5122:5891 6146:6915 7170:7939 8194:8963 9218:9987 10242:11011 11266:12035 12290:13059 13314:14083 14338:15107 15362:16131" s="35" customFormat="1" ht="55.2" x14ac:dyDescent="0.3">
      <c r="A932" s="28">
        <v>85</v>
      </c>
      <c r="B932" s="29" t="s">
        <v>740</v>
      </c>
      <c r="C932" s="30" t="s">
        <v>745</v>
      </c>
      <c r="D932" s="31" t="s">
        <v>13</v>
      </c>
      <c r="E932" s="32">
        <v>6.1</v>
      </c>
      <c r="F932" s="33"/>
      <c r="G932" s="33"/>
      <c r="H932" s="34" t="s">
        <v>744</v>
      </c>
    </row>
    <row r="933" spans="1:771 1026:1795 2050:2819 3074:3843 4098:4867 5122:5891 6146:6915 7170:7939 8194:8963 9218:9987 10242:11011 11266:12035 12290:13059 13314:14083 14338:15107 15362:16131" s="35" customFormat="1" x14ac:dyDescent="0.3">
      <c r="A933" s="36"/>
      <c r="B933" s="72" t="s">
        <v>741</v>
      </c>
      <c r="C933" s="38" t="s">
        <v>14</v>
      </c>
      <c r="D933" s="39"/>
      <c r="E933" s="44"/>
      <c r="F933" s="40"/>
      <c r="G933" s="41">
        <f>SUM(G934)</f>
        <v>118821900</v>
      </c>
      <c r="H933" s="42"/>
    </row>
    <row r="934" spans="1:771 1026:1795 2050:2819 3074:3843 4098:4867 5122:5891 6146:6915 7170:7939 8194:8963 9218:9987 10242:11011 11266:12035 12290:13059 13314:14083 14338:15107 15362:16131" s="35" customFormat="1" ht="62.4" x14ac:dyDescent="0.3">
      <c r="A934" s="36"/>
      <c r="B934" s="72" t="s">
        <v>742</v>
      </c>
      <c r="C934" s="48" t="s">
        <v>38</v>
      </c>
      <c r="D934" s="39" t="s">
        <v>13</v>
      </c>
      <c r="E934" s="44">
        <v>6.1</v>
      </c>
      <c r="F934" s="161">
        <v>19479000</v>
      </c>
      <c r="G934" s="40">
        <f>E934*F934</f>
        <v>118821900</v>
      </c>
      <c r="H934" s="42"/>
    </row>
    <row r="935" spans="1:771 1026:1795 2050:2819 3074:3843 4098:4867 5122:5891 6146:6915 7170:7939 8194:8963 9218:9987 10242:11011 11266:12035 12290:13059 13314:14083 14338:15107 15362:16131" s="35" customFormat="1" x14ac:dyDescent="0.3">
      <c r="A935" s="36"/>
      <c r="B935" s="72" t="s">
        <v>743</v>
      </c>
      <c r="C935" s="47" t="s">
        <v>35</v>
      </c>
      <c r="D935" s="39"/>
      <c r="E935" s="73"/>
      <c r="F935" s="40"/>
      <c r="G935" s="41">
        <f>SUM(G936)</f>
        <v>22349424</v>
      </c>
      <c r="H935" s="45"/>
    </row>
    <row r="936" spans="1:771 1026:1795 2050:2819 3074:3843 4098:4867 5122:5891 6146:6915 7170:7939 8194:8963 9218:9987 10242:11011 11266:12035 12290:13059 13314:14083 14338:15107 15362:16131" s="35" customFormat="1" ht="69" x14ac:dyDescent="0.3">
      <c r="A936" s="36"/>
      <c r="B936" s="50"/>
      <c r="C936" s="101" t="s">
        <v>746</v>
      </c>
      <c r="D936" s="39" t="s">
        <v>234</v>
      </c>
      <c r="E936" s="73">
        <f>2.04*3.05</f>
        <v>6.2219999999999995</v>
      </c>
      <c r="F936" s="74">
        <v>3592000</v>
      </c>
      <c r="G936" s="40">
        <f>E936*F936</f>
        <v>22349424</v>
      </c>
      <c r="H936" s="45" t="s">
        <v>2442</v>
      </c>
    </row>
    <row r="937" spans="1:771 1026:1795 2050:2819 3074:3843 4098:4867 5122:5891 6146:6915 7170:7939 8194:8963 9218:9987 10242:11011 11266:12035 12290:13059 13314:14083 14338:15107 15362:16131" s="35" customFormat="1" ht="65.400000000000006" thickBot="1" x14ac:dyDescent="0.35">
      <c r="A937" s="53"/>
      <c r="B937" s="54"/>
      <c r="C937" s="55" t="s">
        <v>2331</v>
      </c>
      <c r="D937" s="56"/>
      <c r="E937" s="5"/>
      <c r="F937" s="6"/>
      <c r="G937" s="57"/>
      <c r="H937" s="58"/>
    </row>
    <row r="938" spans="1:771 1026:1795 2050:2819 3074:3843 4098:4867 5122:5891 6146:6915 7170:7939 8194:8963 9218:9987 10242:11011 11266:12035 12290:13059 13314:14083 14338:15107 15362:16131" s="59" customFormat="1" ht="31.8" thickBot="1" x14ac:dyDescent="0.35">
      <c r="A938" s="154"/>
      <c r="B938" s="155" t="s">
        <v>26</v>
      </c>
      <c r="C938" s="156"/>
      <c r="D938" s="154"/>
      <c r="E938" s="157"/>
      <c r="F938" s="158"/>
      <c r="G938" s="159">
        <f>SUM(G932:G937)/2</f>
        <v>141171324</v>
      </c>
      <c r="H938" s="160"/>
      <c r="IX938" s="35"/>
      <c r="IY938" s="35"/>
      <c r="ST938" s="35"/>
      <c r="SU938" s="35"/>
      <c r="ACP938" s="35"/>
      <c r="ACQ938" s="35"/>
      <c r="AML938" s="35"/>
      <c r="AMM938" s="35"/>
      <c r="AWH938" s="35"/>
      <c r="AWI938" s="35"/>
      <c r="BGD938" s="35"/>
      <c r="BGE938" s="35"/>
      <c r="BPZ938" s="35"/>
      <c r="BQA938" s="35"/>
      <c r="BZV938" s="35"/>
      <c r="BZW938" s="35"/>
      <c r="CJR938" s="35"/>
      <c r="CJS938" s="35"/>
      <c r="CTN938" s="35"/>
      <c r="CTO938" s="35"/>
      <c r="DDJ938" s="35"/>
      <c r="DDK938" s="35"/>
      <c r="DNF938" s="35"/>
      <c r="DNG938" s="35"/>
      <c r="DXB938" s="35"/>
      <c r="DXC938" s="35"/>
      <c r="EGX938" s="35"/>
      <c r="EGY938" s="35"/>
      <c r="EQT938" s="35"/>
      <c r="EQU938" s="35"/>
      <c r="FAP938" s="35"/>
      <c r="FAQ938" s="35"/>
      <c r="FKL938" s="35"/>
      <c r="FKM938" s="35"/>
      <c r="FUH938" s="35"/>
      <c r="FUI938" s="35"/>
      <c r="GED938" s="35"/>
      <c r="GEE938" s="35"/>
      <c r="GNZ938" s="35"/>
      <c r="GOA938" s="35"/>
      <c r="GXV938" s="35"/>
      <c r="GXW938" s="35"/>
      <c r="HHR938" s="35"/>
      <c r="HHS938" s="35"/>
      <c r="HRN938" s="35"/>
      <c r="HRO938" s="35"/>
      <c r="IBJ938" s="35"/>
      <c r="IBK938" s="35"/>
      <c r="ILF938" s="35"/>
      <c r="ILG938" s="35"/>
      <c r="IVB938" s="35"/>
      <c r="IVC938" s="35"/>
      <c r="JEX938" s="35"/>
      <c r="JEY938" s="35"/>
      <c r="JOT938" s="35"/>
      <c r="JOU938" s="35"/>
      <c r="JYP938" s="35"/>
      <c r="JYQ938" s="35"/>
      <c r="KIL938" s="35"/>
      <c r="KIM938" s="35"/>
      <c r="KSH938" s="35"/>
      <c r="KSI938" s="35"/>
      <c r="LCD938" s="35"/>
      <c r="LCE938" s="35"/>
      <c r="LLZ938" s="35"/>
      <c r="LMA938" s="35"/>
      <c r="LVV938" s="35"/>
      <c r="LVW938" s="35"/>
      <c r="MFR938" s="35"/>
      <c r="MFS938" s="35"/>
      <c r="MPN938" s="35"/>
      <c r="MPO938" s="35"/>
      <c r="MZJ938" s="35"/>
      <c r="MZK938" s="35"/>
      <c r="NJF938" s="35"/>
      <c r="NJG938" s="35"/>
      <c r="NTB938" s="35"/>
      <c r="NTC938" s="35"/>
      <c r="OCX938" s="35"/>
      <c r="OCY938" s="35"/>
      <c r="OMT938" s="35"/>
      <c r="OMU938" s="35"/>
      <c r="OWP938" s="35"/>
      <c r="OWQ938" s="35"/>
      <c r="PGL938" s="35"/>
      <c r="PGM938" s="35"/>
      <c r="PQH938" s="35"/>
      <c r="PQI938" s="35"/>
      <c r="QAD938" s="35"/>
      <c r="QAE938" s="35"/>
      <c r="QJZ938" s="35"/>
      <c r="QKA938" s="35"/>
      <c r="QTV938" s="35"/>
      <c r="QTW938" s="35"/>
      <c r="RDR938" s="35"/>
      <c r="RDS938" s="35"/>
      <c r="RNN938" s="35"/>
      <c r="RNO938" s="35"/>
      <c r="RXJ938" s="35"/>
      <c r="RXK938" s="35"/>
      <c r="SHF938" s="35"/>
      <c r="SHG938" s="35"/>
      <c r="SRB938" s="35"/>
      <c r="SRC938" s="35"/>
      <c r="TAX938" s="35"/>
      <c r="TAY938" s="35"/>
      <c r="TKT938" s="35"/>
      <c r="TKU938" s="35"/>
      <c r="TUP938" s="35"/>
      <c r="TUQ938" s="35"/>
      <c r="UEL938" s="35"/>
      <c r="UEM938" s="35"/>
      <c r="UOH938" s="35"/>
      <c r="UOI938" s="35"/>
      <c r="UYD938" s="35"/>
      <c r="UYE938" s="35"/>
      <c r="VHZ938" s="35"/>
      <c r="VIA938" s="35"/>
      <c r="VRV938" s="35"/>
      <c r="VRW938" s="35"/>
      <c r="WBR938" s="35"/>
      <c r="WBS938" s="35"/>
      <c r="WLN938" s="35"/>
      <c r="WLO938" s="35"/>
      <c r="WVJ938" s="35"/>
      <c r="WVK938" s="35"/>
    </row>
    <row r="939" spans="1:771 1026:1795 2050:2819 3074:3843 4098:4867 5122:5891 6146:6915 7170:7939 8194:8963 9218:9987 10242:11011 11266:12035 12290:13059 13314:14083 14338:15107 15362:16131" s="35" customFormat="1" ht="55.2" x14ac:dyDescent="0.3">
      <c r="A939" s="28">
        <v>86</v>
      </c>
      <c r="B939" s="29" t="s">
        <v>1026</v>
      </c>
      <c r="C939" s="30" t="s">
        <v>751</v>
      </c>
      <c r="D939" s="31" t="s">
        <v>13</v>
      </c>
      <c r="E939" s="32">
        <v>9.3000000000000007</v>
      </c>
      <c r="F939" s="33"/>
      <c r="G939" s="33"/>
      <c r="H939" s="34" t="s">
        <v>750</v>
      </c>
    </row>
    <row r="940" spans="1:771 1026:1795 2050:2819 3074:3843 4098:4867 5122:5891 6146:6915 7170:7939 8194:8963 9218:9987 10242:11011 11266:12035 12290:13059 13314:14083 14338:15107 15362:16131" s="35" customFormat="1" x14ac:dyDescent="0.3">
      <c r="A940" s="36"/>
      <c r="B940" s="72" t="s">
        <v>747</v>
      </c>
      <c r="C940" s="38" t="s">
        <v>14</v>
      </c>
      <c r="D940" s="39"/>
      <c r="E940" s="44"/>
      <c r="F940" s="40"/>
      <c r="G940" s="41">
        <f>SUM(G941)</f>
        <v>181154700</v>
      </c>
      <c r="H940" s="42"/>
    </row>
    <row r="941" spans="1:771 1026:1795 2050:2819 3074:3843 4098:4867 5122:5891 6146:6915 7170:7939 8194:8963 9218:9987 10242:11011 11266:12035 12290:13059 13314:14083 14338:15107 15362:16131" s="35" customFormat="1" ht="62.4" x14ac:dyDescent="0.3">
      <c r="A941" s="36"/>
      <c r="B941" s="72" t="s">
        <v>748</v>
      </c>
      <c r="C941" s="48" t="s">
        <v>38</v>
      </c>
      <c r="D941" s="39" t="s">
        <v>13</v>
      </c>
      <c r="E941" s="44">
        <v>9.3000000000000007</v>
      </c>
      <c r="F941" s="153">
        <v>19479000</v>
      </c>
      <c r="G941" s="40">
        <f>E941*F941</f>
        <v>181154700</v>
      </c>
      <c r="H941" s="42"/>
    </row>
    <row r="942" spans="1:771 1026:1795 2050:2819 3074:3843 4098:4867 5122:5891 6146:6915 7170:7939 8194:8963 9218:9987 10242:11011 11266:12035 12290:13059 13314:14083 14338:15107 15362:16131" s="35" customFormat="1" x14ac:dyDescent="0.3">
      <c r="A942" s="36"/>
      <c r="B942" s="72" t="s">
        <v>749</v>
      </c>
      <c r="C942" s="47" t="s">
        <v>35</v>
      </c>
      <c r="D942" s="39"/>
      <c r="E942" s="73"/>
      <c r="F942" s="40"/>
      <c r="G942" s="41">
        <f>SUM(G943)</f>
        <v>33010480</v>
      </c>
      <c r="H942" s="45"/>
    </row>
    <row r="943" spans="1:771 1026:1795 2050:2819 3074:3843 4098:4867 5122:5891 6146:6915 7170:7939 8194:8963 9218:9987 10242:11011 11266:12035 12290:13059 13314:14083 14338:15107 15362:16131" s="35" customFormat="1" ht="69" x14ac:dyDescent="0.3">
      <c r="A943" s="36"/>
      <c r="B943" s="50"/>
      <c r="C943" s="101" t="s">
        <v>752</v>
      </c>
      <c r="D943" s="39" t="s">
        <v>234</v>
      </c>
      <c r="E943" s="73">
        <v>9.19</v>
      </c>
      <c r="F943" s="74">
        <v>3592000</v>
      </c>
      <c r="G943" s="40">
        <f>E943*F943</f>
        <v>33010480</v>
      </c>
      <c r="H943" s="45" t="s">
        <v>2443</v>
      </c>
    </row>
    <row r="944" spans="1:771 1026:1795 2050:2819 3074:3843 4098:4867 5122:5891 6146:6915 7170:7939 8194:8963 9218:9987 10242:11011 11266:12035 12290:13059 13314:14083 14338:15107 15362:16131" s="35" customFormat="1" ht="65.400000000000006" thickBot="1" x14ac:dyDescent="0.35">
      <c r="A944" s="53"/>
      <c r="B944" s="54"/>
      <c r="C944" s="55" t="s">
        <v>2331</v>
      </c>
      <c r="D944" s="56"/>
      <c r="E944" s="5"/>
      <c r="F944" s="6"/>
      <c r="G944" s="57"/>
      <c r="H944" s="58"/>
    </row>
    <row r="945" spans="1:771 1026:1795 2050:2819 3074:3843 4098:4867 5122:5891 6146:6915 7170:7939 8194:8963 9218:9987 10242:11011 11266:12035 12290:13059 13314:14083 14338:15107 15362:16131" s="59" customFormat="1" ht="31.8" thickBot="1" x14ac:dyDescent="0.35">
      <c r="A945" s="154"/>
      <c r="B945" s="155" t="s">
        <v>26</v>
      </c>
      <c r="C945" s="156"/>
      <c r="D945" s="154"/>
      <c r="E945" s="157"/>
      <c r="F945" s="158"/>
      <c r="G945" s="159">
        <f>SUM(G939:G944)/2</f>
        <v>214165180</v>
      </c>
      <c r="H945" s="160"/>
      <c r="IX945" s="35"/>
      <c r="IY945" s="35"/>
      <c r="ST945" s="35"/>
      <c r="SU945" s="35"/>
      <c r="ACP945" s="35"/>
      <c r="ACQ945" s="35"/>
      <c r="AML945" s="35"/>
      <c r="AMM945" s="35"/>
      <c r="AWH945" s="35"/>
      <c r="AWI945" s="35"/>
      <c r="BGD945" s="35"/>
      <c r="BGE945" s="35"/>
      <c r="BPZ945" s="35"/>
      <c r="BQA945" s="35"/>
      <c r="BZV945" s="35"/>
      <c r="BZW945" s="35"/>
      <c r="CJR945" s="35"/>
      <c r="CJS945" s="35"/>
      <c r="CTN945" s="35"/>
      <c r="CTO945" s="35"/>
      <c r="DDJ945" s="35"/>
      <c r="DDK945" s="35"/>
      <c r="DNF945" s="35"/>
      <c r="DNG945" s="35"/>
      <c r="DXB945" s="35"/>
      <c r="DXC945" s="35"/>
      <c r="EGX945" s="35"/>
      <c r="EGY945" s="35"/>
      <c r="EQT945" s="35"/>
      <c r="EQU945" s="35"/>
      <c r="FAP945" s="35"/>
      <c r="FAQ945" s="35"/>
      <c r="FKL945" s="35"/>
      <c r="FKM945" s="35"/>
      <c r="FUH945" s="35"/>
      <c r="FUI945" s="35"/>
      <c r="GED945" s="35"/>
      <c r="GEE945" s="35"/>
      <c r="GNZ945" s="35"/>
      <c r="GOA945" s="35"/>
      <c r="GXV945" s="35"/>
      <c r="GXW945" s="35"/>
      <c r="HHR945" s="35"/>
      <c r="HHS945" s="35"/>
      <c r="HRN945" s="35"/>
      <c r="HRO945" s="35"/>
      <c r="IBJ945" s="35"/>
      <c r="IBK945" s="35"/>
      <c r="ILF945" s="35"/>
      <c r="ILG945" s="35"/>
      <c r="IVB945" s="35"/>
      <c r="IVC945" s="35"/>
      <c r="JEX945" s="35"/>
      <c r="JEY945" s="35"/>
      <c r="JOT945" s="35"/>
      <c r="JOU945" s="35"/>
      <c r="JYP945" s="35"/>
      <c r="JYQ945" s="35"/>
      <c r="KIL945" s="35"/>
      <c r="KIM945" s="35"/>
      <c r="KSH945" s="35"/>
      <c r="KSI945" s="35"/>
      <c r="LCD945" s="35"/>
      <c r="LCE945" s="35"/>
      <c r="LLZ945" s="35"/>
      <c r="LMA945" s="35"/>
      <c r="LVV945" s="35"/>
      <c r="LVW945" s="35"/>
      <c r="MFR945" s="35"/>
      <c r="MFS945" s="35"/>
      <c r="MPN945" s="35"/>
      <c r="MPO945" s="35"/>
      <c r="MZJ945" s="35"/>
      <c r="MZK945" s="35"/>
      <c r="NJF945" s="35"/>
      <c r="NJG945" s="35"/>
      <c r="NTB945" s="35"/>
      <c r="NTC945" s="35"/>
      <c r="OCX945" s="35"/>
      <c r="OCY945" s="35"/>
      <c r="OMT945" s="35"/>
      <c r="OMU945" s="35"/>
      <c r="OWP945" s="35"/>
      <c r="OWQ945" s="35"/>
      <c r="PGL945" s="35"/>
      <c r="PGM945" s="35"/>
      <c r="PQH945" s="35"/>
      <c r="PQI945" s="35"/>
      <c r="QAD945" s="35"/>
      <c r="QAE945" s="35"/>
      <c r="QJZ945" s="35"/>
      <c r="QKA945" s="35"/>
      <c r="QTV945" s="35"/>
      <c r="QTW945" s="35"/>
      <c r="RDR945" s="35"/>
      <c r="RDS945" s="35"/>
      <c r="RNN945" s="35"/>
      <c r="RNO945" s="35"/>
      <c r="RXJ945" s="35"/>
      <c r="RXK945" s="35"/>
      <c r="SHF945" s="35"/>
      <c r="SHG945" s="35"/>
      <c r="SRB945" s="35"/>
      <c r="SRC945" s="35"/>
      <c r="TAX945" s="35"/>
      <c r="TAY945" s="35"/>
      <c r="TKT945" s="35"/>
      <c r="TKU945" s="35"/>
      <c r="TUP945" s="35"/>
      <c r="TUQ945" s="35"/>
      <c r="UEL945" s="35"/>
      <c r="UEM945" s="35"/>
      <c r="UOH945" s="35"/>
      <c r="UOI945" s="35"/>
      <c r="UYD945" s="35"/>
      <c r="UYE945" s="35"/>
      <c r="VHZ945" s="35"/>
      <c r="VIA945" s="35"/>
      <c r="VRV945" s="35"/>
      <c r="VRW945" s="35"/>
      <c r="WBR945" s="35"/>
      <c r="WBS945" s="35"/>
      <c r="WLN945" s="35"/>
      <c r="WLO945" s="35"/>
      <c r="WVJ945" s="35"/>
      <c r="WVK945" s="35"/>
    </row>
    <row r="946" spans="1:771 1026:1795 2050:2819 3074:3843 4098:4867 5122:5891 6146:6915 7170:7939 8194:8963 9218:9987 10242:11011 11266:12035 12290:13059 13314:14083 14338:15107 15362:16131" s="35" customFormat="1" ht="55.2" x14ac:dyDescent="0.3">
      <c r="A946" s="28">
        <v>87</v>
      </c>
      <c r="B946" s="29" t="s">
        <v>755</v>
      </c>
      <c r="C946" s="30" t="s">
        <v>758</v>
      </c>
      <c r="D946" s="31" t="s">
        <v>13</v>
      </c>
      <c r="E946" s="32">
        <v>6.2</v>
      </c>
      <c r="F946" s="33"/>
      <c r="G946" s="33"/>
      <c r="H946" s="34" t="s">
        <v>759</v>
      </c>
    </row>
    <row r="947" spans="1:771 1026:1795 2050:2819 3074:3843 4098:4867 5122:5891 6146:6915 7170:7939 8194:8963 9218:9987 10242:11011 11266:12035 12290:13059 13314:14083 14338:15107 15362:16131" s="35" customFormat="1" x14ac:dyDescent="0.3">
      <c r="A947" s="36"/>
      <c r="B947" s="72" t="s">
        <v>753</v>
      </c>
      <c r="C947" s="38" t="s">
        <v>14</v>
      </c>
      <c r="D947" s="39"/>
      <c r="E947" s="44"/>
      <c r="F947" s="40"/>
      <c r="G947" s="41">
        <f>SUM(G948)</f>
        <v>120769800</v>
      </c>
      <c r="H947" s="42"/>
    </row>
    <row r="948" spans="1:771 1026:1795 2050:2819 3074:3843 4098:4867 5122:5891 6146:6915 7170:7939 8194:8963 9218:9987 10242:11011 11266:12035 12290:13059 13314:14083 14338:15107 15362:16131" s="35" customFormat="1" ht="46.8" x14ac:dyDescent="0.3">
      <c r="A948" s="36"/>
      <c r="B948" s="72" t="s">
        <v>756</v>
      </c>
      <c r="C948" s="48" t="s">
        <v>38</v>
      </c>
      <c r="D948" s="39" t="s">
        <v>13</v>
      </c>
      <c r="E948" s="44">
        <v>6.2</v>
      </c>
      <c r="F948" s="161">
        <v>19479000</v>
      </c>
      <c r="G948" s="40">
        <f>E948*F948</f>
        <v>120769800</v>
      </c>
      <c r="H948" s="42"/>
    </row>
    <row r="949" spans="1:771 1026:1795 2050:2819 3074:3843 4098:4867 5122:5891 6146:6915 7170:7939 8194:8963 9218:9987 10242:11011 11266:12035 12290:13059 13314:14083 14338:15107 15362:16131" s="35" customFormat="1" x14ac:dyDescent="0.3">
      <c r="A949" s="36"/>
      <c r="B949" s="72" t="s">
        <v>757</v>
      </c>
      <c r="C949" s="47" t="s">
        <v>35</v>
      </c>
      <c r="D949" s="39"/>
      <c r="E949" s="73"/>
      <c r="F949" s="40"/>
      <c r="G949" s="41">
        <f>SUM(G950)</f>
        <v>56417995.199999996</v>
      </c>
      <c r="H949" s="45"/>
    </row>
    <row r="950" spans="1:771 1026:1795 2050:2819 3074:3843 4098:4867 5122:5891 6146:6915 7170:7939 8194:8963 9218:9987 10242:11011 11266:12035 12290:13059 13314:14083 14338:15107 15362:16131" s="35" customFormat="1" ht="109.2" x14ac:dyDescent="0.3">
      <c r="A950" s="36"/>
      <c r="B950" s="38" t="s">
        <v>2312</v>
      </c>
      <c r="C950" s="66" t="s">
        <v>760</v>
      </c>
      <c r="D950" s="39" t="s">
        <v>234</v>
      </c>
      <c r="E950" s="73">
        <f>(2.04*3.01)+(2.04*3.01)</f>
        <v>12.280799999999999</v>
      </c>
      <c r="F950" s="74">
        <v>4594000</v>
      </c>
      <c r="G950" s="40">
        <f>E950*F950</f>
        <v>56417995.199999996</v>
      </c>
      <c r="H950" s="45" t="s">
        <v>2444</v>
      </c>
    </row>
    <row r="951" spans="1:771 1026:1795 2050:2819 3074:3843 4098:4867 5122:5891 6146:6915 7170:7939 8194:8963 9218:9987 10242:11011 11266:12035 12290:13059 13314:14083 14338:15107 15362:16131" s="35" customFormat="1" ht="78.599999999999994" thickBot="1" x14ac:dyDescent="0.35">
      <c r="A951" s="53"/>
      <c r="B951" s="102" t="s">
        <v>754</v>
      </c>
      <c r="C951" s="55" t="s">
        <v>2331</v>
      </c>
      <c r="D951" s="56"/>
      <c r="E951" s="84"/>
      <c r="F951" s="103"/>
      <c r="G951" s="57"/>
      <c r="H951" s="85"/>
    </row>
    <row r="952" spans="1:771 1026:1795 2050:2819 3074:3843 4098:4867 5122:5891 6146:6915 7170:7939 8194:8963 9218:9987 10242:11011 11266:12035 12290:13059 13314:14083 14338:15107 15362:16131" s="59" customFormat="1" ht="31.8" thickBot="1" x14ac:dyDescent="0.35">
      <c r="A952" s="154"/>
      <c r="B952" s="155" t="s">
        <v>26</v>
      </c>
      <c r="C952" s="156"/>
      <c r="D952" s="154"/>
      <c r="E952" s="157"/>
      <c r="F952" s="158"/>
      <c r="G952" s="159">
        <f>SUM(G946:G951)/2</f>
        <v>177187795.19999999</v>
      </c>
      <c r="H952" s="160"/>
      <c r="IX952" s="35"/>
      <c r="IY952" s="35"/>
      <c r="ST952" s="35"/>
      <c r="SU952" s="35"/>
      <c r="ACP952" s="35"/>
      <c r="ACQ952" s="35"/>
      <c r="AML952" s="35"/>
      <c r="AMM952" s="35"/>
      <c r="AWH952" s="35"/>
      <c r="AWI952" s="35"/>
      <c r="BGD952" s="35"/>
      <c r="BGE952" s="35"/>
      <c r="BPZ952" s="35"/>
      <c r="BQA952" s="35"/>
      <c r="BZV952" s="35"/>
      <c r="BZW952" s="35"/>
      <c r="CJR952" s="35"/>
      <c r="CJS952" s="35"/>
      <c r="CTN952" s="35"/>
      <c r="CTO952" s="35"/>
      <c r="DDJ952" s="35"/>
      <c r="DDK952" s="35"/>
      <c r="DNF952" s="35"/>
      <c r="DNG952" s="35"/>
      <c r="DXB952" s="35"/>
      <c r="DXC952" s="35"/>
      <c r="EGX952" s="35"/>
      <c r="EGY952" s="35"/>
      <c r="EQT952" s="35"/>
      <c r="EQU952" s="35"/>
      <c r="FAP952" s="35"/>
      <c r="FAQ952" s="35"/>
      <c r="FKL952" s="35"/>
      <c r="FKM952" s="35"/>
      <c r="FUH952" s="35"/>
      <c r="FUI952" s="35"/>
      <c r="GED952" s="35"/>
      <c r="GEE952" s="35"/>
      <c r="GNZ952" s="35"/>
      <c r="GOA952" s="35"/>
      <c r="GXV952" s="35"/>
      <c r="GXW952" s="35"/>
      <c r="HHR952" s="35"/>
      <c r="HHS952" s="35"/>
      <c r="HRN952" s="35"/>
      <c r="HRO952" s="35"/>
      <c r="IBJ952" s="35"/>
      <c r="IBK952" s="35"/>
      <c r="ILF952" s="35"/>
      <c r="ILG952" s="35"/>
      <c r="IVB952" s="35"/>
      <c r="IVC952" s="35"/>
      <c r="JEX952" s="35"/>
      <c r="JEY952" s="35"/>
      <c r="JOT952" s="35"/>
      <c r="JOU952" s="35"/>
      <c r="JYP952" s="35"/>
      <c r="JYQ952" s="35"/>
      <c r="KIL952" s="35"/>
      <c r="KIM952" s="35"/>
      <c r="KSH952" s="35"/>
      <c r="KSI952" s="35"/>
      <c r="LCD952" s="35"/>
      <c r="LCE952" s="35"/>
      <c r="LLZ952" s="35"/>
      <c r="LMA952" s="35"/>
      <c r="LVV952" s="35"/>
      <c r="LVW952" s="35"/>
      <c r="MFR952" s="35"/>
      <c r="MFS952" s="35"/>
      <c r="MPN952" s="35"/>
      <c r="MPO952" s="35"/>
      <c r="MZJ952" s="35"/>
      <c r="MZK952" s="35"/>
      <c r="NJF952" s="35"/>
      <c r="NJG952" s="35"/>
      <c r="NTB952" s="35"/>
      <c r="NTC952" s="35"/>
      <c r="OCX952" s="35"/>
      <c r="OCY952" s="35"/>
      <c r="OMT952" s="35"/>
      <c r="OMU952" s="35"/>
      <c r="OWP952" s="35"/>
      <c r="OWQ952" s="35"/>
      <c r="PGL952" s="35"/>
      <c r="PGM952" s="35"/>
      <c r="PQH952" s="35"/>
      <c r="PQI952" s="35"/>
      <c r="QAD952" s="35"/>
      <c r="QAE952" s="35"/>
      <c r="QJZ952" s="35"/>
      <c r="QKA952" s="35"/>
      <c r="QTV952" s="35"/>
      <c r="QTW952" s="35"/>
      <c r="RDR952" s="35"/>
      <c r="RDS952" s="35"/>
      <c r="RNN952" s="35"/>
      <c r="RNO952" s="35"/>
      <c r="RXJ952" s="35"/>
      <c r="RXK952" s="35"/>
      <c r="SHF952" s="35"/>
      <c r="SHG952" s="35"/>
      <c r="SRB952" s="35"/>
      <c r="SRC952" s="35"/>
      <c r="TAX952" s="35"/>
      <c r="TAY952" s="35"/>
      <c r="TKT952" s="35"/>
      <c r="TKU952" s="35"/>
      <c r="TUP952" s="35"/>
      <c r="TUQ952" s="35"/>
      <c r="UEL952" s="35"/>
      <c r="UEM952" s="35"/>
      <c r="UOH952" s="35"/>
      <c r="UOI952" s="35"/>
      <c r="UYD952" s="35"/>
      <c r="UYE952" s="35"/>
      <c r="VHZ952" s="35"/>
      <c r="VIA952" s="35"/>
      <c r="VRV952" s="35"/>
      <c r="VRW952" s="35"/>
      <c r="WBR952" s="35"/>
      <c r="WBS952" s="35"/>
      <c r="WLN952" s="35"/>
      <c r="WLO952" s="35"/>
      <c r="WVJ952" s="35"/>
      <c r="WVK952" s="35"/>
    </row>
    <row r="953" spans="1:771 1026:1795 2050:2819 3074:3843 4098:4867 5122:5891 6146:6915 7170:7939 8194:8963 9218:9987 10242:11011 11266:12035 12290:13059 13314:14083 14338:15107 15362:16131" s="35" customFormat="1" ht="41.4" x14ac:dyDescent="0.3">
      <c r="A953" s="28">
        <v>88</v>
      </c>
      <c r="B953" s="29" t="s">
        <v>762</v>
      </c>
      <c r="C953" s="30" t="s">
        <v>765</v>
      </c>
      <c r="D953" s="31" t="s">
        <v>13</v>
      </c>
      <c r="E953" s="32">
        <v>6.1</v>
      </c>
      <c r="F953" s="33"/>
      <c r="G953" s="33"/>
      <c r="H953" s="34" t="s">
        <v>766</v>
      </c>
    </row>
    <row r="954" spans="1:771 1026:1795 2050:2819 3074:3843 4098:4867 5122:5891 6146:6915 7170:7939 8194:8963 9218:9987 10242:11011 11266:12035 12290:13059 13314:14083 14338:15107 15362:16131" s="35" customFormat="1" x14ac:dyDescent="0.3">
      <c r="A954" s="36"/>
      <c r="B954" s="72" t="s">
        <v>761</v>
      </c>
      <c r="C954" s="38" t="s">
        <v>14</v>
      </c>
      <c r="D954" s="39"/>
      <c r="E954" s="44"/>
      <c r="F954" s="40"/>
      <c r="G954" s="41">
        <f>SUM(G955)</f>
        <v>118821900</v>
      </c>
      <c r="H954" s="42"/>
    </row>
    <row r="955" spans="1:771 1026:1795 2050:2819 3074:3843 4098:4867 5122:5891 6146:6915 7170:7939 8194:8963 9218:9987 10242:11011 11266:12035 12290:13059 13314:14083 14338:15107 15362:16131" s="35" customFormat="1" ht="62.4" x14ac:dyDescent="0.3">
      <c r="A955" s="36"/>
      <c r="B955" s="72" t="s">
        <v>763</v>
      </c>
      <c r="C955" s="48" t="s">
        <v>38</v>
      </c>
      <c r="D955" s="39" t="s">
        <v>13</v>
      </c>
      <c r="E955" s="44">
        <v>6.1</v>
      </c>
      <c r="F955" s="161">
        <v>19479000</v>
      </c>
      <c r="G955" s="40">
        <f>E955*F955</f>
        <v>118821900</v>
      </c>
      <c r="H955" s="42"/>
    </row>
    <row r="956" spans="1:771 1026:1795 2050:2819 3074:3843 4098:4867 5122:5891 6146:6915 7170:7939 8194:8963 9218:9987 10242:11011 11266:12035 12290:13059 13314:14083 14338:15107 15362:16131" s="35" customFormat="1" x14ac:dyDescent="0.3">
      <c r="A956" s="36"/>
      <c r="B956" s="72" t="s">
        <v>764</v>
      </c>
      <c r="C956" s="47" t="s">
        <v>35</v>
      </c>
      <c r="D956" s="39"/>
      <c r="E956" s="73"/>
      <c r="F956" s="40"/>
      <c r="G956" s="41">
        <f>SUM(G957)</f>
        <v>46904740.000000007</v>
      </c>
      <c r="H956" s="45"/>
    </row>
    <row r="957" spans="1:771 1026:1795 2050:2819 3074:3843 4098:4867 5122:5891 6146:6915 7170:7939 8194:8963 9218:9987 10242:11011 11266:12035 12290:13059 13314:14083 14338:15107 15362:16131" s="35" customFormat="1" ht="96.6" x14ac:dyDescent="0.3">
      <c r="A957" s="36"/>
      <c r="B957" s="72"/>
      <c r="C957" s="101" t="s">
        <v>767</v>
      </c>
      <c r="D957" s="39" t="s">
        <v>234</v>
      </c>
      <c r="E957" s="73">
        <v>10.210000000000001</v>
      </c>
      <c r="F957" s="74">
        <v>4594000</v>
      </c>
      <c r="G957" s="40">
        <f>E957*F957</f>
        <v>46904740.000000007</v>
      </c>
      <c r="H957" s="45" t="s">
        <v>2445</v>
      </c>
    </row>
    <row r="958" spans="1:771 1026:1795 2050:2819 3074:3843 4098:4867 5122:5891 6146:6915 7170:7939 8194:8963 9218:9987 10242:11011 11266:12035 12290:13059 13314:14083 14338:15107 15362:16131" s="35" customFormat="1" ht="65.400000000000006" thickBot="1" x14ac:dyDescent="0.35">
      <c r="A958" s="53"/>
      <c r="B958" s="54"/>
      <c r="C958" s="55" t="s">
        <v>2331</v>
      </c>
      <c r="D958" s="56"/>
      <c r="E958" s="5"/>
      <c r="F958" s="6"/>
      <c r="G958" s="57"/>
      <c r="H958" s="58"/>
    </row>
    <row r="959" spans="1:771 1026:1795 2050:2819 3074:3843 4098:4867 5122:5891 6146:6915 7170:7939 8194:8963 9218:9987 10242:11011 11266:12035 12290:13059 13314:14083 14338:15107 15362:16131" s="59" customFormat="1" ht="31.8" thickBot="1" x14ac:dyDescent="0.35">
      <c r="A959" s="154"/>
      <c r="B959" s="155" t="s">
        <v>26</v>
      </c>
      <c r="C959" s="156"/>
      <c r="D959" s="154"/>
      <c r="E959" s="157"/>
      <c r="F959" s="158"/>
      <c r="G959" s="159">
        <f>SUM(G953:G958)/2</f>
        <v>165726640</v>
      </c>
      <c r="H959" s="160"/>
      <c r="IX959" s="35"/>
      <c r="IY959" s="35"/>
      <c r="ST959" s="35"/>
      <c r="SU959" s="35"/>
      <c r="ACP959" s="35"/>
      <c r="ACQ959" s="35"/>
      <c r="AML959" s="35"/>
      <c r="AMM959" s="35"/>
      <c r="AWH959" s="35"/>
      <c r="AWI959" s="35"/>
      <c r="BGD959" s="35"/>
      <c r="BGE959" s="35"/>
      <c r="BPZ959" s="35"/>
      <c r="BQA959" s="35"/>
      <c r="BZV959" s="35"/>
      <c r="BZW959" s="35"/>
      <c r="CJR959" s="35"/>
      <c r="CJS959" s="35"/>
      <c r="CTN959" s="35"/>
      <c r="CTO959" s="35"/>
      <c r="DDJ959" s="35"/>
      <c r="DDK959" s="35"/>
      <c r="DNF959" s="35"/>
      <c r="DNG959" s="35"/>
      <c r="DXB959" s="35"/>
      <c r="DXC959" s="35"/>
      <c r="EGX959" s="35"/>
      <c r="EGY959" s="35"/>
      <c r="EQT959" s="35"/>
      <c r="EQU959" s="35"/>
      <c r="FAP959" s="35"/>
      <c r="FAQ959" s="35"/>
      <c r="FKL959" s="35"/>
      <c r="FKM959" s="35"/>
      <c r="FUH959" s="35"/>
      <c r="FUI959" s="35"/>
      <c r="GED959" s="35"/>
      <c r="GEE959" s="35"/>
      <c r="GNZ959" s="35"/>
      <c r="GOA959" s="35"/>
      <c r="GXV959" s="35"/>
      <c r="GXW959" s="35"/>
      <c r="HHR959" s="35"/>
      <c r="HHS959" s="35"/>
      <c r="HRN959" s="35"/>
      <c r="HRO959" s="35"/>
      <c r="IBJ959" s="35"/>
      <c r="IBK959" s="35"/>
      <c r="ILF959" s="35"/>
      <c r="ILG959" s="35"/>
      <c r="IVB959" s="35"/>
      <c r="IVC959" s="35"/>
      <c r="JEX959" s="35"/>
      <c r="JEY959" s="35"/>
      <c r="JOT959" s="35"/>
      <c r="JOU959" s="35"/>
      <c r="JYP959" s="35"/>
      <c r="JYQ959" s="35"/>
      <c r="KIL959" s="35"/>
      <c r="KIM959" s="35"/>
      <c r="KSH959" s="35"/>
      <c r="KSI959" s="35"/>
      <c r="LCD959" s="35"/>
      <c r="LCE959" s="35"/>
      <c r="LLZ959" s="35"/>
      <c r="LMA959" s="35"/>
      <c r="LVV959" s="35"/>
      <c r="LVW959" s="35"/>
      <c r="MFR959" s="35"/>
      <c r="MFS959" s="35"/>
      <c r="MPN959" s="35"/>
      <c r="MPO959" s="35"/>
      <c r="MZJ959" s="35"/>
      <c r="MZK959" s="35"/>
      <c r="NJF959" s="35"/>
      <c r="NJG959" s="35"/>
      <c r="NTB959" s="35"/>
      <c r="NTC959" s="35"/>
      <c r="OCX959" s="35"/>
      <c r="OCY959" s="35"/>
      <c r="OMT959" s="35"/>
      <c r="OMU959" s="35"/>
      <c r="OWP959" s="35"/>
      <c r="OWQ959" s="35"/>
      <c r="PGL959" s="35"/>
      <c r="PGM959" s="35"/>
      <c r="PQH959" s="35"/>
      <c r="PQI959" s="35"/>
      <c r="QAD959" s="35"/>
      <c r="QAE959" s="35"/>
      <c r="QJZ959" s="35"/>
      <c r="QKA959" s="35"/>
      <c r="QTV959" s="35"/>
      <c r="QTW959" s="35"/>
      <c r="RDR959" s="35"/>
      <c r="RDS959" s="35"/>
      <c r="RNN959" s="35"/>
      <c r="RNO959" s="35"/>
      <c r="RXJ959" s="35"/>
      <c r="RXK959" s="35"/>
      <c r="SHF959" s="35"/>
      <c r="SHG959" s="35"/>
      <c r="SRB959" s="35"/>
      <c r="SRC959" s="35"/>
      <c r="TAX959" s="35"/>
      <c r="TAY959" s="35"/>
      <c r="TKT959" s="35"/>
      <c r="TKU959" s="35"/>
      <c r="TUP959" s="35"/>
      <c r="TUQ959" s="35"/>
      <c r="UEL959" s="35"/>
      <c r="UEM959" s="35"/>
      <c r="UOH959" s="35"/>
      <c r="UOI959" s="35"/>
      <c r="UYD959" s="35"/>
      <c r="UYE959" s="35"/>
      <c r="VHZ959" s="35"/>
      <c r="VIA959" s="35"/>
      <c r="VRV959" s="35"/>
      <c r="VRW959" s="35"/>
      <c r="WBR959" s="35"/>
      <c r="WBS959" s="35"/>
      <c r="WLN959" s="35"/>
      <c r="WLO959" s="35"/>
      <c r="WVJ959" s="35"/>
      <c r="WVK959" s="35"/>
    </row>
    <row r="960" spans="1:771 1026:1795 2050:2819 3074:3843 4098:4867 5122:5891 6146:6915 7170:7939 8194:8963 9218:9987 10242:11011 11266:12035 12290:13059 13314:14083 14338:15107 15362:16131" s="35" customFormat="1" ht="55.2" x14ac:dyDescent="0.3">
      <c r="A960" s="28">
        <v>89</v>
      </c>
      <c r="B960" s="29" t="s">
        <v>768</v>
      </c>
      <c r="C960" s="30" t="s">
        <v>772</v>
      </c>
      <c r="D960" s="31" t="s">
        <v>13</v>
      </c>
      <c r="E960" s="32">
        <v>33.5</v>
      </c>
      <c r="F960" s="33"/>
      <c r="G960" s="33"/>
      <c r="H960" s="34" t="s">
        <v>2245</v>
      </c>
    </row>
    <row r="961" spans="1:771 1026:1795 2050:2819 3074:3843 4098:4867 5122:5891 6146:6915 7170:7939 8194:8963 9218:9987 10242:11011 11266:12035 12290:13059 13314:14083 14338:15107 15362:16131" s="35" customFormat="1" x14ac:dyDescent="0.3">
      <c r="A961" s="36"/>
      <c r="B961" s="72" t="s">
        <v>769</v>
      </c>
      <c r="C961" s="38" t="s">
        <v>14</v>
      </c>
      <c r="D961" s="39"/>
      <c r="E961" s="44"/>
      <c r="F961" s="40"/>
      <c r="G961" s="41">
        <f>SUM(G962)</f>
        <v>652546500</v>
      </c>
      <c r="H961" s="42"/>
    </row>
    <row r="962" spans="1:771 1026:1795 2050:2819 3074:3843 4098:4867 5122:5891 6146:6915 7170:7939 8194:8963 9218:9987 10242:11011 11266:12035 12290:13059 13314:14083 14338:15107 15362:16131" s="35" customFormat="1" ht="62.4" x14ac:dyDescent="0.3">
      <c r="A962" s="36"/>
      <c r="B962" s="72" t="s">
        <v>770</v>
      </c>
      <c r="C962" s="48" t="s">
        <v>38</v>
      </c>
      <c r="D962" s="39" t="s">
        <v>13</v>
      </c>
      <c r="E962" s="44">
        <v>33.5</v>
      </c>
      <c r="F962" s="161">
        <v>19479000</v>
      </c>
      <c r="G962" s="40">
        <f>E962*F962</f>
        <v>652546500</v>
      </c>
      <c r="H962" s="42"/>
    </row>
    <row r="963" spans="1:771 1026:1795 2050:2819 3074:3843 4098:4867 5122:5891 6146:6915 7170:7939 8194:8963 9218:9987 10242:11011 11266:12035 12290:13059 13314:14083 14338:15107 15362:16131" s="35" customFormat="1" x14ac:dyDescent="0.3">
      <c r="A963" s="36"/>
      <c r="B963" s="72" t="s">
        <v>771</v>
      </c>
      <c r="C963" s="47" t="s">
        <v>35</v>
      </c>
      <c r="D963" s="39"/>
      <c r="E963" s="73"/>
      <c r="F963" s="40"/>
      <c r="G963" s="41">
        <f>SUM(G964:G970)</f>
        <v>25569400</v>
      </c>
      <c r="H963" s="45"/>
    </row>
    <row r="964" spans="1:771 1026:1795 2050:2819 3074:3843 4098:4867 5122:5891 6146:6915 7170:7939 8194:8963 9218:9987 10242:11011 11266:12035 12290:13059 13314:14083 14338:15107 15362:16131" s="35" customFormat="1" ht="41.4" x14ac:dyDescent="0.3">
      <c r="A964" s="36"/>
      <c r="B964" s="72"/>
      <c r="C964" s="66" t="s">
        <v>773</v>
      </c>
      <c r="D964" s="39" t="s">
        <v>234</v>
      </c>
      <c r="E964" s="73">
        <v>17.2</v>
      </c>
      <c r="F964" s="74">
        <v>540000</v>
      </c>
      <c r="G964" s="40">
        <f t="shared" ref="G964:G970" si="15">E964*F964</f>
        <v>9288000</v>
      </c>
      <c r="H964" s="45" t="s">
        <v>2446</v>
      </c>
    </row>
    <row r="965" spans="1:771 1026:1795 2050:2819 3074:3843 4098:4867 5122:5891 6146:6915 7170:7939 8194:8963 9218:9987 10242:11011 11266:12035 12290:13059 13314:14083 14338:15107 15362:16131" s="35" customFormat="1" ht="46.8" x14ac:dyDescent="0.3">
      <c r="A965" s="36"/>
      <c r="B965" s="72"/>
      <c r="C965" s="66" t="s">
        <v>774</v>
      </c>
      <c r="D965" s="39" t="s">
        <v>234</v>
      </c>
      <c r="E965" s="73">
        <v>9.86</v>
      </c>
      <c r="F965" s="74">
        <v>540000</v>
      </c>
      <c r="G965" s="40">
        <f t="shared" si="15"/>
        <v>5324400</v>
      </c>
      <c r="H965" s="45" t="s">
        <v>2447</v>
      </c>
    </row>
    <row r="966" spans="1:771 1026:1795 2050:2819 3074:3843 4098:4867 5122:5891 6146:6915 7170:7939 8194:8963 9218:9987 10242:11011 11266:12035 12290:13059 13314:14083 14338:15107 15362:16131" s="35" customFormat="1" x14ac:dyDescent="0.3">
      <c r="A966" s="36"/>
      <c r="B966" s="72"/>
      <c r="C966" s="66" t="s">
        <v>274</v>
      </c>
      <c r="D966" s="39" t="s">
        <v>234</v>
      </c>
      <c r="E966" s="73">
        <v>9.4</v>
      </c>
      <c r="F966" s="40">
        <v>100000</v>
      </c>
      <c r="G966" s="40">
        <f t="shared" si="15"/>
        <v>940000</v>
      </c>
      <c r="H966" s="45"/>
    </row>
    <row r="967" spans="1:771 1026:1795 2050:2819 3074:3843 4098:4867 5122:5891 6146:6915 7170:7939 8194:8963 9218:9987 10242:11011 11266:12035 12290:13059 13314:14083 14338:15107 15362:16131" s="35" customFormat="1" x14ac:dyDescent="0.3">
      <c r="A967" s="36"/>
      <c r="B967" s="72"/>
      <c r="C967" s="66" t="s">
        <v>556</v>
      </c>
      <c r="D967" s="39" t="s">
        <v>234</v>
      </c>
      <c r="E967" s="73">
        <f>4.65*1.9</f>
        <v>8.8350000000000009</v>
      </c>
      <c r="F967" s="74">
        <v>100000</v>
      </c>
      <c r="G967" s="40">
        <f t="shared" si="15"/>
        <v>883500.00000000012</v>
      </c>
      <c r="H967" s="45"/>
    </row>
    <row r="968" spans="1:771 1026:1795 2050:2819 3074:3843 4098:4867 5122:5891 6146:6915 7170:7939 8194:8963 9218:9987 10242:11011 11266:12035 12290:13059 13314:14083 14338:15107 15362:16131" s="35" customFormat="1" x14ac:dyDescent="0.3">
      <c r="A968" s="36"/>
      <c r="B968" s="72"/>
      <c r="C968" s="66" t="s">
        <v>775</v>
      </c>
      <c r="D968" s="39" t="s">
        <v>106</v>
      </c>
      <c r="E968" s="73">
        <v>1</v>
      </c>
      <c r="F968" s="40">
        <f>2976000+(236000*25)</f>
        <v>8876000</v>
      </c>
      <c r="G968" s="40">
        <f t="shared" si="15"/>
        <v>8876000</v>
      </c>
      <c r="H968" s="45"/>
    </row>
    <row r="969" spans="1:771 1026:1795 2050:2819 3074:3843 4098:4867 5122:5891 6146:6915 7170:7939 8194:8963 9218:9987 10242:11011 11266:12035 12290:13059 13314:14083 14338:15107 15362:16131" s="35" customFormat="1" x14ac:dyDescent="0.3">
      <c r="A969" s="36"/>
      <c r="B969" s="72"/>
      <c r="C969" s="66" t="s">
        <v>776</v>
      </c>
      <c r="D969" s="39" t="s">
        <v>19</v>
      </c>
      <c r="E969" s="73">
        <v>10</v>
      </c>
      <c r="F969" s="74">
        <f>42000/4</f>
        <v>10500</v>
      </c>
      <c r="G969" s="40">
        <f t="shared" si="15"/>
        <v>105000</v>
      </c>
      <c r="H969" s="45"/>
    </row>
    <row r="970" spans="1:771 1026:1795 2050:2819 3074:3843 4098:4867 5122:5891 6146:6915 7170:7939 8194:8963 9218:9987 10242:11011 11266:12035 12290:13059 13314:14083 14338:15107 15362:16131" s="35" customFormat="1" x14ac:dyDescent="0.3">
      <c r="A970" s="36"/>
      <c r="B970" s="72"/>
      <c r="C970" s="66" t="s">
        <v>777</v>
      </c>
      <c r="D970" s="39" t="s">
        <v>19</v>
      </c>
      <c r="E970" s="73">
        <v>10</v>
      </c>
      <c r="F970" s="74">
        <f>61000/4</f>
        <v>15250</v>
      </c>
      <c r="G970" s="40">
        <f t="shared" si="15"/>
        <v>152500</v>
      </c>
      <c r="H970" s="45"/>
    </row>
    <row r="971" spans="1:771 1026:1795 2050:2819 3074:3843 4098:4867 5122:5891 6146:6915 7170:7939 8194:8963 9218:9987 10242:11011 11266:12035 12290:13059 13314:14083 14338:15107 15362:16131" s="35" customFormat="1" x14ac:dyDescent="0.3">
      <c r="A971" s="36"/>
      <c r="B971" s="46"/>
      <c r="C971" s="51" t="s">
        <v>20</v>
      </c>
      <c r="D971" s="39"/>
      <c r="E971" s="73"/>
      <c r="F971" s="40"/>
      <c r="G971" s="41">
        <f>SUM(G972:G974)</f>
        <v>104000</v>
      </c>
      <c r="H971" s="52"/>
    </row>
    <row r="972" spans="1:771 1026:1795 2050:2819 3074:3843 4098:4867 5122:5891 6146:6915 7170:7939 8194:8963 9218:9987 10242:11011 11266:12035 12290:13059 13314:14083 14338:15107 15362:16131" s="77" customFormat="1" x14ac:dyDescent="0.3">
      <c r="A972" s="36"/>
      <c r="B972" s="37"/>
      <c r="C972" s="75" t="s">
        <v>778</v>
      </c>
      <c r="D972" s="76" t="s">
        <v>22</v>
      </c>
      <c r="E972" s="73">
        <v>6</v>
      </c>
      <c r="F972" s="74">
        <v>4000</v>
      </c>
      <c r="G972" s="40">
        <f>E972*F972</f>
        <v>24000</v>
      </c>
      <c r="H972" s="52"/>
    </row>
    <row r="973" spans="1:771 1026:1795 2050:2819 3074:3843 4098:4867 5122:5891 6146:6915 7170:7939 8194:8963 9218:9987 10242:11011 11266:12035 12290:13059 13314:14083 14338:15107 15362:16131" s="77" customFormat="1" x14ac:dyDescent="0.3">
      <c r="A973" s="36"/>
      <c r="B973" s="37"/>
      <c r="C973" s="75" t="s">
        <v>195</v>
      </c>
      <c r="D973" s="76" t="s">
        <v>22</v>
      </c>
      <c r="E973" s="73">
        <v>1</v>
      </c>
      <c r="F973" s="74">
        <v>40000</v>
      </c>
      <c r="G973" s="40">
        <f>E973*F973</f>
        <v>40000</v>
      </c>
      <c r="H973" s="52"/>
    </row>
    <row r="974" spans="1:771 1026:1795 2050:2819 3074:3843 4098:4867 5122:5891 6146:6915 7170:7939 8194:8963 9218:9987 10242:11011 11266:12035 12290:13059 13314:14083 14338:15107 15362:16131" s="77" customFormat="1" x14ac:dyDescent="0.3">
      <c r="A974" s="36"/>
      <c r="B974" s="37"/>
      <c r="C974" s="75" t="s">
        <v>779</v>
      </c>
      <c r="D974" s="76" t="s">
        <v>22</v>
      </c>
      <c r="E974" s="73">
        <v>1</v>
      </c>
      <c r="F974" s="74">
        <v>40000</v>
      </c>
      <c r="G974" s="40">
        <f>E974*F974</f>
        <v>40000</v>
      </c>
      <c r="H974" s="52"/>
    </row>
    <row r="975" spans="1:771 1026:1795 2050:2819 3074:3843 4098:4867 5122:5891 6146:6915 7170:7939 8194:8963 9218:9987 10242:11011 11266:12035 12290:13059 13314:14083 14338:15107 15362:16131" s="35" customFormat="1" ht="65.400000000000006" thickBot="1" x14ac:dyDescent="0.35">
      <c r="A975" s="53"/>
      <c r="B975" s="54"/>
      <c r="C975" s="55" t="s">
        <v>2331</v>
      </c>
      <c r="D975" s="56"/>
      <c r="E975" s="5"/>
      <c r="F975" s="6"/>
      <c r="G975" s="57"/>
      <c r="H975" s="58"/>
    </row>
    <row r="976" spans="1:771 1026:1795 2050:2819 3074:3843 4098:4867 5122:5891 6146:6915 7170:7939 8194:8963 9218:9987 10242:11011 11266:12035 12290:13059 13314:14083 14338:15107 15362:16131" s="59" customFormat="1" ht="31.8" thickBot="1" x14ac:dyDescent="0.35">
      <c r="A976" s="154"/>
      <c r="B976" s="155" t="s">
        <v>26</v>
      </c>
      <c r="C976" s="156"/>
      <c r="D976" s="154"/>
      <c r="E976" s="157"/>
      <c r="F976" s="158"/>
      <c r="G976" s="159">
        <f>SUM(G960:G975)/2</f>
        <v>678219900</v>
      </c>
      <c r="H976" s="160"/>
      <c r="IX976" s="35"/>
      <c r="IY976" s="35"/>
      <c r="ST976" s="35"/>
      <c r="SU976" s="35"/>
      <c r="ACP976" s="35"/>
      <c r="ACQ976" s="35"/>
      <c r="AML976" s="35"/>
      <c r="AMM976" s="35"/>
      <c r="AWH976" s="35"/>
      <c r="AWI976" s="35"/>
      <c r="BGD976" s="35"/>
      <c r="BGE976" s="35"/>
      <c r="BPZ976" s="35"/>
      <c r="BQA976" s="35"/>
      <c r="BZV976" s="35"/>
      <c r="BZW976" s="35"/>
      <c r="CJR976" s="35"/>
      <c r="CJS976" s="35"/>
      <c r="CTN976" s="35"/>
      <c r="CTO976" s="35"/>
      <c r="DDJ976" s="35"/>
      <c r="DDK976" s="35"/>
      <c r="DNF976" s="35"/>
      <c r="DNG976" s="35"/>
      <c r="DXB976" s="35"/>
      <c r="DXC976" s="35"/>
      <c r="EGX976" s="35"/>
      <c r="EGY976" s="35"/>
      <c r="EQT976" s="35"/>
      <c r="EQU976" s="35"/>
      <c r="FAP976" s="35"/>
      <c r="FAQ976" s="35"/>
      <c r="FKL976" s="35"/>
      <c r="FKM976" s="35"/>
      <c r="FUH976" s="35"/>
      <c r="FUI976" s="35"/>
      <c r="GED976" s="35"/>
      <c r="GEE976" s="35"/>
      <c r="GNZ976" s="35"/>
      <c r="GOA976" s="35"/>
      <c r="GXV976" s="35"/>
      <c r="GXW976" s="35"/>
      <c r="HHR976" s="35"/>
      <c r="HHS976" s="35"/>
      <c r="HRN976" s="35"/>
      <c r="HRO976" s="35"/>
      <c r="IBJ976" s="35"/>
      <c r="IBK976" s="35"/>
      <c r="ILF976" s="35"/>
      <c r="ILG976" s="35"/>
      <c r="IVB976" s="35"/>
      <c r="IVC976" s="35"/>
      <c r="JEX976" s="35"/>
      <c r="JEY976" s="35"/>
      <c r="JOT976" s="35"/>
      <c r="JOU976" s="35"/>
      <c r="JYP976" s="35"/>
      <c r="JYQ976" s="35"/>
      <c r="KIL976" s="35"/>
      <c r="KIM976" s="35"/>
      <c r="KSH976" s="35"/>
      <c r="KSI976" s="35"/>
      <c r="LCD976" s="35"/>
      <c r="LCE976" s="35"/>
      <c r="LLZ976" s="35"/>
      <c r="LMA976" s="35"/>
      <c r="LVV976" s="35"/>
      <c r="LVW976" s="35"/>
      <c r="MFR976" s="35"/>
      <c r="MFS976" s="35"/>
      <c r="MPN976" s="35"/>
      <c r="MPO976" s="35"/>
      <c r="MZJ976" s="35"/>
      <c r="MZK976" s="35"/>
      <c r="NJF976" s="35"/>
      <c r="NJG976" s="35"/>
      <c r="NTB976" s="35"/>
      <c r="NTC976" s="35"/>
      <c r="OCX976" s="35"/>
      <c r="OCY976" s="35"/>
      <c r="OMT976" s="35"/>
      <c r="OMU976" s="35"/>
      <c r="OWP976" s="35"/>
      <c r="OWQ976" s="35"/>
      <c r="PGL976" s="35"/>
      <c r="PGM976" s="35"/>
      <c r="PQH976" s="35"/>
      <c r="PQI976" s="35"/>
      <c r="QAD976" s="35"/>
      <c r="QAE976" s="35"/>
      <c r="QJZ976" s="35"/>
      <c r="QKA976" s="35"/>
      <c r="QTV976" s="35"/>
      <c r="QTW976" s="35"/>
      <c r="RDR976" s="35"/>
      <c r="RDS976" s="35"/>
      <c r="RNN976" s="35"/>
      <c r="RNO976" s="35"/>
      <c r="RXJ976" s="35"/>
      <c r="RXK976" s="35"/>
      <c r="SHF976" s="35"/>
      <c r="SHG976" s="35"/>
      <c r="SRB976" s="35"/>
      <c r="SRC976" s="35"/>
      <c r="TAX976" s="35"/>
      <c r="TAY976" s="35"/>
      <c r="TKT976" s="35"/>
      <c r="TKU976" s="35"/>
      <c r="TUP976" s="35"/>
      <c r="TUQ976" s="35"/>
      <c r="UEL976" s="35"/>
      <c r="UEM976" s="35"/>
      <c r="UOH976" s="35"/>
      <c r="UOI976" s="35"/>
      <c r="UYD976" s="35"/>
      <c r="UYE976" s="35"/>
      <c r="VHZ976" s="35"/>
      <c r="VIA976" s="35"/>
      <c r="VRV976" s="35"/>
      <c r="VRW976" s="35"/>
      <c r="WBR976" s="35"/>
      <c r="WBS976" s="35"/>
      <c r="WLN976" s="35"/>
      <c r="WLO976" s="35"/>
      <c r="WVJ976" s="35"/>
      <c r="WVK976" s="35"/>
    </row>
    <row r="977" spans="1:771 1026:1795 2050:2819 3074:3843 4098:4867 5122:5891 6146:6915 7170:7939 8194:8963 9218:9987 10242:11011 11266:12035 12290:13059 13314:14083 14338:15107 15362:16131" s="35" customFormat="1" ht="55.2" x14ac:dyDescent="0.3">
      <c r="A977" s="28">
        <v>90</v>
      </c>
      <c r="B977" s="29" t="s">
        <v>1027</v>
      </c>
      <c r="C977" s="30" t="s">
        <v>784</v>
      </c>
      <c r="D977" s="31" t="s">
        <v>13</v>
      </c>
      <c r="E977" s="32">
        <v>10.5</v>
      </c>
      <c r="F977" s="33"/>
      <c r="G977" s="33"/>
      <c r="H977" s="34" t="s">
        <v>783</v>
      </c>
    </row>
    <row r="978" spans="1:771 1026:1795 2050:2819 3074:3843 4098:4867 5122:5891 6146:6915 7170:7939 8194:8963 9218:9987 10242:11011 11266:12035 12290:13059 13314:14083 14338:15107 15362:16131" s="35" customFormat="1" x14ac:dyDescent="0.3">
      <c r="A978" s="36"/>
      <c r="B978" s="72" t="s">
        <v>780</v>
      </c>
      <c r="C978" s="38" t="s">
        <v>14</v>
      </c>
      <c r="D978" s="39"/>
      <c r="E978" s="44"/>
      <c r="F978" s="40"/>
      <c r="G978" s="41">
        <f>SUM(G979)</f>
        <v>204529500</v>
      </c>
      <c r="H978" s="42"/>
    </row>
    <row r="979" spans="1:771 1026:1795 2050:2819 3074:3843 4098:4867 5122:5891 6146:6915 7170:7939 8194:8963 9218:9987 10242:11011 11266:12035 12290:13059 13314:14083 14338:15107 15362:16131" s="35" customFormat="1" ht="78" x14ac:dyDescent="0.3">
      <c r="A979" s="36"/>
      <c r="B979" s="72" t="s">
        <v>781</v>
      </c>
      <c r="C979" s="48" t="s">
        <v>38</v>
      </c>
      <c r="D979" s="39" t="s">
        <v>13</v>
      </c>
      <c r="E979" s="44">
        <v>10.5</v>
      </c>
      <c r="F979" s="161">
        <v>19479000</v>
      </c>
      <c r="G979" s="40">
        <f>E979*F979</f>
        <v>204529500</v>
      </c>
      <c r="H979" s="42"/>
    </row>
    <row r="980" spans="1:771 1026:1795 2050:2819 3074:3843 4098:4867 5122:5891 6146:6915 7170:7939 8194:8963 9218:9987 10242:11011 11266:12035 12290:13059 13314:14083 14338:15107 15362:16131" s="35" customFormat="1" ht="65.400000000000006" thickBot="1" x14ac:dyDescent="0.35">
      <c r="A980" s="53"/>
      <c r="B980" s="72" t="s">
        <v>782</v>
      </c>
      <c r="C980" s="55" t="s">
        <v>2331</v>
      </c>
      <c r="D980" s="56"/>
      <c r="E980" s="5"/>
      <c r="F980" s="6"/>
      <c r="G980" s="40"/>
      <c r="H980" s="58"/>
    </row>
    <row r="981" spans="1:771 1026:1795 2050:2819 3074:3843 4098:4867 5122:5891 6146:6915 7170:7939 8194:8963 9218:9987 10242:11011 11266:12035 12290:13059 13314:14083 14338:15107 15362:16131" s="59" customFormat="1" ht="31.8" thickBot="1" x14ac:dyDescent="0.35">
      <c r="A981" s="154"/>
      <c r="B981" s="155" t="s">
        <v>26</v>
      </c>
      <c r="C981" s="156"/>
      <c r="D981" s="154"/>
      <c r="E981" s="157"/>
      <c r="F981" s="158"/>
      <c r="G981" s="159">
        <f>SUM(G977:G980)/2</f>
        <v>204529500</v>
      </c>
      <c r="H981" s="160"/>
      <c r="IX981" s="35"/>
      <c r="IY981" s="35"/>
      <c r="ST981" s="35"/>
      <c r="SU981" s="35"/>
      <c r="ACP981" s="35"/>
      <c r="ACQ981" s="35"/>
      <c r="AML981" s="35"/>
      <c r="AMM981" s="35"/>
      <c r="AWH981" s="35"/>
      <c r="AWI981" s="35"/>
      <c r="BGD981" s="35"/>
      <c r="BGE981" s="35"/>
      <c r="BPZ981" s="35"/>
      <c r="BQA981" s="35"/>
      <c r="BZV981" s="35"/>
      <c r="BZW981" s="35"/>
      <c r="CJR981" s="35"/>
      <c r="CJS981" s="35"/>
      <c r="CTN981" s="35"/>
      <c r="CTO981" s="35"/>
      <c r="DDJ981" s="35"/>
      <c r="DDK981" s="35"/>
      <c r="DNF981" s="35"/>
      <c r="DNG981" s="35"/>
      <c r="DXB981" s="35"/>
      <c r="DXC981" s="35"/>
      <c r="EGX981" s="35"/>
      <c r="EGY981" s="35"/>
      <c r="EQT981" s="35"/>
      <c r="EQU981" s="35"/>
      <c r="FAP981" s="35"/>
      <c r="FAQ981" s="35"/>
      <c r="FKL981" s="35"/>
      <c r="FKM981" s="35"/>
      <c r="FUH981" s="35"/>
      <c r="FUI981" s="35"/>
      <c r="GED981" s="35"/>
      <c r="GEE981" s="35"/>
      <c r="GNZ981" s="35"/>
      <c r="GOA981" s="35"/>
      <c r="GXV981" s="35"/>
      <c r="GXW981" s="35"/>
      <c r="HHR981" s="35"/>
      <c r="HHS981" s="35"/>
      <c r="HRN981" s="35"/>
      <c r="HRO981" s="35"/>
      <c r="IBJ981" s="35"/>
      <c r="IBK981" s="35"/>
      <c r="ILF981" s="35"/>
      <c r="ILG981" s="35"/>
      <c r="IVB981" s="35"/>
      <c r="IVC981" s="35"/>
      <c r="JEX981" s="35"/>
      <c r="JEY981" s="35"/>
      <c r="JOT981" s="35"/>
      <c r="JOU981" s="35"/>
      <c r="JYP981" s="35"/>
      <c r="JYQ981" s="35"/>
      <c r="KIL981" s="35"/>
      <c r="KIM981" s="35"/>
      <c r="KSH981" s="35"/>
      <c r="KSI981" s="35"/>
      <c r="LCD981" s="35"/>
      <c r="LCE981" s="35"/>
      <c r="LLZ981" s="35"/>
      <c r="LMA981" s="35"/>
      <c r="LVV981" s="35"/>
      <c r="LVW981" s="35"/>
      <c r="MFR981" s="35"/>
      <c r="MFS981" s="35"/>
      <c r="MPN981" s="35"/>
      <c r="MPO981" s="35"/>
      <c r="MZJ981" s="35"/>
      <c r="MZK981" s="35"/>
      <c r="NJF981" s="35"/>
      <c r="NJG981" s="35"/>
      <c r="NTB981" s="35"/>
      <c r="NTC981" s="35"/>
      <c r="OCX981" s="35"/>
      <c r="OCY981" s="35"/>
      <c r="OMT981" s="35"/>
      <c r="OMU981" s="35"/>
      <c r="OWP981" s="35"/>
      <c r="OWQ981" s="35"/>
      <c r="PGL981" s="35"/>
      <c r="PGM981" s="35"/>
      <c r="PQH981" s="35"/>
      <c r="PQI981" s="35"/>
      <c r="QAD981" s="35"/>
      <c r="QAE981" s="35"/>
      <c r="QJZ981" s="35"/>
      <c r="QKA981" s="35"/>
      <c r="QTV981" s="35"/>
      <c r="QTW981" s="35"/>
      <c r="RDR981" s="35"/>
      <c r="RDS981" s="35"/>
      <c r="RNN981" s="35"/>
      <c r="RNO981" s="35"/>
      <c r="RXJ981" s="35"/>
      <c r="RXK981" s="35"/>
      <c r="SHF981" s="35"/>
      <c r="SHG981" s="35"/>
      <c r="SRB981" s="35"/>
      <c r="SRC981" s="35"/>
      <c r="TAX981" s="35"/>
      <c r="TAY981" s="35"/>
      <c r="TKT981" s="35"/>
      <c r="TKU981" s="35"/>
      <c r="TUP981" s="35"/>
      <c r="TUQ981" s="35"/>
      <c r="UEL981" s="35"/>
      <c r="UEM981" s="35"/>
      <c r="UOH981" s="35"/>
      <c r="UOI981" s="35"/>
      <c r="UYD981" s="35"/>
      <c r="UYE981" s="35"/>
      <c r="VHZ981" s="35"/>
      <c r="VIA981" s="35"/>
      <c r="VRV981" s="35"/>
      <c r="VRW981" s="35"/>
      <c r="WBR981" s="35"/>
      <c r="WBS981" s="35"/>
      <c r="WLN981" s="35"/>
      <c r="WLO981" s="35"/>
      <c r="WVJ981" s="35"/>
      <c r="WVK981" s="35"/>
    </row>
    <row r="982" spans="1:771 1026:1795 2050:2819 3074:3843 4098:4867 5122:5891 6146:6915 7170:7939 8194:8963 9218:9987 10242:11011 11266:12035 12290:13059 13314:14083 14338:15107 15362:16131" s="35" customFormat="1" ht="55.2" x14ac:dyDescent="0.3">
      <c r="A982" s="28">
        <v>91</v>
      </c>
      <c r="B982" s="29" t="s">
        <v>785</v>
      </c>
      <c r="C982" s="30" t="s">
        <v>789</v>
      </c>
      <c r="D982" s="31" t="s">
        <v>13</v>
      </c>
      <c r="E982" s="32">
        <v>8.6</v>
      </c>
      <c r="F982" s="33"/>
      <c r="G982" s="33"/>
      <c r="H982" s="34" t="s">
        <v>790</v>
      </c>
    </row>
    <row r="983" spans="1:771 1026:1795 2050:2819 3074:3843 4098:4867 5122:5891 6146:6915 7170:7939 8194:8963 9218:9987 10242:11011 11266:12035 12290:13059 13314:14083 14338:15107 15362:16131" s="35" customFormat="1" x14ac:dyDescent="0.3">
      <c r="A983" s="36"/>
      <c r="B983" s="72" t="s">
        <v>786</v>
      </c>
      <c r="C983" s="38" t="s">
        <v>14</v>
      </c>
      <c r="D983" s="39"/>
      <c r="E983" s="44"/>
      <c r="F983" s="40"/>
      <c r="G983" s="41">
        <f>SUM(G984)</f>
        <v>167519400</v>
      </c>
      <c r="H983" s="42"/>
    </row>
    <row r="984" spans="1:771 1026:1795 2050:2819 3074:3843 4098:4867 5122:5891 6146:6915 7170:7939 8194:8963 9218:9987 10242:11011 11266:12035 12290:13059 13314:14083 14338:15107 15362:16131" s="35" customFormat="1" ht="62.4" x14ac:dyDescent="0.3">
      <c r="A984" s="36"/>
      <c r="B984" s="72" t="s">
        <v>787</v>
      </c>
      <c r="C984" s="48" t="s">
        <v>38</v>
      </c>
      <c r="D984" s="39" t="s">
        <v>13</v>
      </c>
      <c r="E984" s="44">
        <v>8.6</v>
      </c>
      <c r="F984" s="161">
        <v>19479000</v>
      </c>
      <c r="G984" s="40">
        <f>E984*F984</f>
        <v>167519400</v>
      </c>
      <c r="H984" s="42"/>
    </row>
    <row r="985" spans="1:771 1026:1795 2050:2819 3074:3843 4098:4867 5122:5891 6146:6915 7170:7939 8194:8963 9218:9987 10242:11011 11266:12035 12290:13059 13314:14083 14338:15107 15362:16131" s="35" customFormat="1" x14ac:dyDescent="0.3">
      <c r="A985" s="36"/>
      <c r="B985" s="72" t="s">
        <v>788</v>
      </c>
      <c r="C985" s="47" t="s">
        <v>35</v>
      </c>
      <c r="D985" s="39"/>
      <c r="E985" s="73"/>
      <c r="F985" s="40"/>
      <c r="G985" s="41">
        <f>SUM(G986:G988)</f>
        <v>54268564.799999997</v>
      </c>
      <c r="H985" s="45"/>
    </row>
    <row r="986" spans="1:771 1026:1795 2050:2819 3074:3843 4098:4867 5122:5891 6146:6915 7170:7939 8194:8963 9218:9987 10242:11011 11266:12035 12290:13059 13314:14083 14338:15107 15362:16131" s="35" customFormat="1" ht="124.8" x14ac:dyDescent="0.3">
      <c r="A986" s="36"/>
      <c r="B986" s="72"/>
      <c r="C986" s="66" t="s">
        <v>791</v>
      </c>
      <c r="D986" s="39" t="s">
        <v>234</v>
      </c>
      <c r="E986" s="73">
        <f>5.486+5.908</f>
        <v>11.394</v>
      </c>
      <c r="F986" s="74">
        <v>4594000</v>
      </c>
      <c r="G986" s="40">
        <f>E986*F986</f>
        <v>52344036</v>
      </c>
      <c r="H986" s="45" t="s">
        <v>2448</v>
      </c>
    </row>
    <row r="987" spans="1:771 1026:1795 2050:2819 3074:3843 4098:4867 5122:5891 6146:6915 7170:7939 8194:8963 9218:9987 10242:11011 11266:12035 12290:13059 13314:14083 14338:15107 15362:16131" s="35" customFormat="1" ht="31.2" x14ac:dyDescent="0.3">
      <c r="A987" s="36"/>
      <c r="B987" s="72"/>
      <c r="C987" s="66" t="s">
        <v>792</v>
      </c>
      <c r="D987" s="39" t="s">
        <v>234</v>
      </c>
      <c r="E987" s="73">
        <v>6.0979999999999999</v>
      </c>
      <c r="F987" s="74">
        <f>789000*40%</f>
        <v>315600</v>
      </c>
      <c r="G987" s="40">
        <f>E987*F987</f>
        <v>1924528.8</v>
      </c>
      <c r="H987" s="20" t="s">
        <v>2374</v>
      </c>
    </row>
    <row r="988" spans="1:771 1026:1795 2050:2819 3074:3843 4098:4867 5122:5891 6146:6915 7170:7939 8194:8963 9218:9987 10242:11011 11266:12035 12290:13059 13314:14083 14338:15107 15362:16131" s="35" customFormat="1" ht="65.400000000000006" thickBot="1" x14ac:dyDescent="0.35">
      <c r="A988" s="53"/>
      <c r="B988" s="54"/>
      <c r="C988" s="55" t="s">
        <v>2331</v>
      </c>
      <c r="D988" s="56"/>
      <c r="E988" s="5"/>
      <c r="F988" s="6"/>
      <c r="G988" s="57"/>
      <c r="H988" s="58"/>
    </row>
    <row r="989" spans="1:771 1026:1795 2050:2819 3074:3843 4098:4867 5122:5891 6146:6915 7170:7939 8194:8963 9218:9987 10242:11011 11266:12035 12290:13059 13314:14083 14338:15107 15362:16131" s="59" customFormat="1" ht="31.8" thickBot="1" x14ac:dyDescent="0.35">
      <c r="A989" s="154"/>
      <c r="B989" s="155" t="s">
        <v>26</v>
      </c>
      <c r="C989" s="156"/>
      <c r="D989" s="154"/>
      <c r="E989" s="157"/>
      <c r="F989" s="158"/>
      <c r="G989" s="159">
        <f>SUM(G982:G988)/2</f>
        <v>221787964.80000001</v>
      </c>
      <c r="H989" s="160"/>
      <c r="IX989" s="35"/>
      <c r="IY989" s="35"/>
      <c r="ST989" s="35"/>
      <c r="SU989" s="35"/>
      <c r="ACP989" s="35"/>
      <c r="ACQ989" s="35"/>
      <c r="AML989" s="35"/>
      <c r="AMM989" s="35"/>
      <c r="AWH989" s="35"/>
      <c r="AWI989" s="35"/>
      <c r="BGD989" s="35"/>
      <c r="BGE989" s="35"/>
      <c r="BPZ989" s="35"/>
      <c r="BQA989" s="35"/>
      <c r="BZV989" s="35"/>
      <c r="BZW989" s="35"/>
      <c r="CJR989" s="35"/>
      <c r="CJS989" s="35"/>
      <c r="CTN989" s="35"/>
      <c r="CTO989" s="35"/>
      <c r="DDJ989" s="35"/>
      <c r="DDK989" s="35"/>
      <c r="DNF989" s="35"/>
      <c r="DNG989" s="35"/>
      <c r="DXB989" s="35"/>
      <c r="DXC989" s="35"/>
      <c r="EGX989" s="35"/>
      <c r="EGY989" s="35"/>
      <c r="EQT989" s="35"/>
      <c r="EQU989" s="35"/>
      <c r="FAP989" s="35"/>
      <c r="FAQ989" s="35"/>
      <c r="FKL989" s="35"/>
      <c r="FKM989" s="35"/>
      <c r="FUH989" s="35"/>
      <c r="FUI989" s="35"/>
      <c r="GED989" s="35"/>
      <c r="GEE989" s="35"/>
      <c r="GNZ989" s="35"/>
      <c r="GOA989" s="35"/>
      <c r="GXV989" s="35"/>
      <c r="GXW989" s="35"/>
      <c r="HHR989" s="35"/>
      <c r="HHS989" s="35"/>
      <c r="HRN989" s="35"/>
      <c r="HRO989" s="35"/>
      <c r="IBJ989" s="35"/>
      <c r="IBK989" s="35"/>
      <c r="ILF989" s="35"/>
      <c r="ILG989" s="35"/>
      <c r="IVB989" s="35"/>
      <c r="IVC989" s="35"/>
      <c r="JEX989" s="35"/>
      <c r="JEY989" s="35"/>
      <c r="JOT989" s="35"/>
      <c r="JOU989" s="35"/>
      <c r="JYP989" s="35"/>
      <c r="JYQ989" s="35"/>
      <c r="KIL989" s="35"/>
      <c r="KIM989" s="35"/>
      <c r="KSH989" s="35"/>
      <c r="KSI989" s="35"/>
      <c r="LCD989" s="35"/>
      <c r="LCE989" s="35"/>
      <c r="LLZ989" s="35"/>
      <c r="LMA989" s="35"/>
      <c r="LVV989" s="35"/>
      <c r="LVW989" s="35"/>
      <c r="MFR989" s="35"/>
      <c r="MFS989" s="35"/>
      <c r="MPN989" s="35"/>
      <c r="MPO989" s="35"/>
      <c r="MZJ989" s="35"/>
      <c r="MZK989" s="35"/>
      <c r="NJF989" s="35"/>
      <c r="NJG989" s="35"/>
      <c r="NTB989" s="35"/>
      <c r="NTC989" s="35"/>
      <c r="OCX989" s="35"/>
      <c r="OCY989" s="35"/>
      <c r="OMT989" s="35"/>
      <c r="OMU989" s="35"/>
      <c r="OWP989" s="35"/>
      <c r="OWQ989" s="35"/>
      <c r="PGL989" s="35"/>
      <c r="PGM989" s="35"/>
      <c r="PQH989" s="35"/>
      <c r="PQI989" s="35"/>
      <c r="QAD989" s="35"/>
      <c r="QAE989" s="35"/>
      <c r="QJZ989" s="35"/>
      <c r="QKA989" s="35"/>
      <c r="QTV989" s="35"/>
      <c r="QTW989" s="35"/>
      <c r="RDR989" s="35"/>
      <c r="RDS989" s="35"/>
      <c r="RNN989" s="35"/>
      <c r="RNO989" s="35"/>
      <c r="RXJ989" s="35"/>
      <c r="RXK989" s="35"/>
      <c r="SHF989" s="35"/>
      <c r="SHG989" s="35"/>
      <c r="SRB989" s="35"/>
      <c r="SRC989" s="35"/>
      <c r="TAX989" s="35"/>
      <c r="TAY989" s="35"/>
      <c r="TKT989" s="35"/>
      <c r="TKU989" s="35"/>
      <c r="TUP989" s="35"/>
      <c r="TUQ989" s="35"/>
      <c r="UEL989" s="35"/>
      <c r="UEM989" s="35"/>
      <c r="UOH989" s="35"/>
      <c r="UOI989" s="35"/>
      <c r="UYD989" s="35"/>
      <c r="UYE989" s="35"/>
      <c r="VHZ989" s="35"/>
      <c r="VIA989" s="35"/>
      <c r="VRV989" s="35"/>
      <c r="VRW989" s="35"/>
      <c r="WBR989" s="35"/>
      <c r="WBS989" s="35"/>
      <c r="WLN989" s="35"/>
      <c r="WLO989" s="35"/>
      <c r="WVJ989" s="35"/>
      <c r="WVK989" s="35"/>
    </row>
    <row r="990" spans="1:771 1026:1795 2050:2819 3074:3843 4098:4867 5122:5891 6146:6915 7170:7939 8194:8963 9218:9987 10242:11011 11266:12035 12290:13059 13314:14083 14338:15107 15362:16131" s="35" customFormat="1" ht="55.2" x14ac:dyDescent="0.3">
      <c r="A990" s="28">
        <v>92</v>
      </c>
      <c r="B990" s="29" t="s">
        <v>793</v>
      </c>
      <c r="C990" s="30" t="s">
        <v>796</v>
      </c>
      <c r="D990" s="31" t="s">
        <v>13</v>
      </c>
      <c r="E990" s="32">
        <v>10.199999999999999</v>
      </c>
      <c r="F990" s="33"/>
      <c r="G990" s="33"/>
      <c r="H990" s="34" t="s">
        <v>797</v>
      </c>
    </row>
    <row r="991" spans="1:771 1026:1795 2050:2819 3074:3843 4098:4867 5122:5891 6146:6915 7170:7939 8194:8963 9218:9987 10242:11011 11266:12035 12290:13059 13314:14083 14338:15107 15362:16131" s="35" customFormat="1" x14ac:dyDescent="0.3">
      <c r="A991" s="36"/>
      <c r="B991" s="72" t="s">
        <v>794</v>
      </c>
      <c r="C991" s="38" t="s">
        <v>14</v>
      </c>
      <c r="D991" s="39"/>
      <c r="E991" s="44"/>
      <c r="F991" s="40"/>
      <c r="G991" s="41">
        <f>SUM(G992)</f>
        <v>198685800</v>
      </c>
      <c r="H991" s="42"/>
    </row>
    <row r="992" spans="1:771 1026:1795 2050:2819 3074:3843 4098:4867 5122:5891 6146:6915 7170:7939 8194:8963 9218:9987 10242:11011 11266:12035 12290:13059 13314:14083 14338:15107 15362:16131" s="35" customFormat="1" ht="78" x14ac:dyDescent="0.3">
      <c r="A992" s="36"/>
      <c r="B992" s="72" t="s">
        <v>795</v>
      </c>
      <c r="C992" s="48" t="s">
        <v>38</v>
      </c>
      <c r="D992" s="39" t="s">
        <v>13</v>
      </c>
      <c r="E992" s="73">
        <v>10.199999999999999</v>
      </c>
      <c r="F992" s="161">
        <v>19479000</v>
      </c>
      <c r="G992" s="40">
        <f>E992*F992</f>
        <v>198685800</v>
      </c>
      <c r="H992" s="42"/>
    </row>
    <row r="993" spans="1:771 1026:1795 2050:2819 3074:3843 4098:4867 5122:5891 6146:6915 7170:7939 8194:8963 9218:9987 10242:11011 11266:12035 12290:13059 13314:14083 14338:15107 15362:16131" s="35" customFormat="1" x14ac:dyDescent="0.3">
      <c r="A993" s="36"/>
      <c r="B993" s="38"/>
      <c r="C993" s="47" t="s">
        <v>35</v>
      </c>
      <c r="D993" s="39"/>
      <c r="E993" s="73"/>
      <c r="F993" s="40"/>
      <c r="G993" s="41">
        <f>SUM(G994)</f>
        <v>4957200</v>
      </c>
      <c r="H993" s="45"/>
    </row>
    <row r="994" spans="1:771 1026:1795 2050:2819 3074:3843 4098:4867 5122:5891 6146:6915 7170:7939 8194:8963 9218:9987 10242:11011 11266:12035 12290:13059 13314:14083 14338:15107 15362:16131" s="35" customFormat="1" ht="46.8" x14ac:dyDescent="0.3">
      <c r="A994" s="36"/>
      <c r="B994" s="72"/>
      <c r="C994" s="66" t="s">
        <v>798</v>
      </c>
      <c r="D994" s="39" t="s">
        <v>234</v>
      </c>
      <c r="E994" s="73">
        <v>9.18</v>
      </c>
      <c r="F994" s="74">
        <v>540000</v>
      </c>
      <c r="G994" s="40">
        <f>E994*F994</f>
        <v>4957200</v>
      </c>
      <c r="H994" s="45" t="s">
        <v>2449</v>
      </c>
    </row>
    <row r="995" spans="1:771 1026:1795 2050:2819 3074:3843 4098:4867 5122:5891 6146:6915 7170:7939 8194:8963 9218:9987 10242:11011 11266:12035 12290:13059 13314:14083 14338:15107 15362:16131" s="35" customFormat="1" ht="65.400000000000006" thickBot="1" x14ac:dyDescent="0.35">
      <c r="A995" s="53"/>
      <c r="B995" s="54"/>
      <c r="C995" s="55" t="s">
        <v>2331</v>
      </c>
      <c r="D995" s="56"/>
      <c r="E995" s="5"/>
      <c r="F995" s="6"/>
      <c r="G995" s="57"/>
      <c r="H995" s="58"/>
    </row>
    <row r="996" spans="1:771 1026:1795 2050:2819 3074:3843 4098:4867 5122:5891 6146:6915 7170:7939 8194:8963 9218:9987 10242:11011 11266:12035 12290:13059 13314:14083 14338:15107 15362:16131" s="59" customFormat="1" ht="31.8" thickBot="1" x14ac:dyDescent="0.35">
      <c r="A996" s="154"/>
      <c r="B996" s="155" t="s">
        <v>26</v>
      </c>
      <c r="C996" s="156"/>
      <c r="D996" s="154"/>
      <c r="E996" s="157"/>
      <c r="F996" s="158"/>
      <c r="G996" s="159">
        <f>SUM(G990:G995)/2</f>
        <v>203643000</v>
      </c>
      <c r="H996" s="160"/>
      <c r="IX996" s="35"/>
      <c r="IY996" s="35"/>
      <c r="ST996" s="35"/>
      <c r="SU996" s="35"/>
      <c r="ACP996" s="35"/>
      <c r="ACQ996" s="35"/>
      <c r="AML996" s="35"/>
      <c r="AMM996" s="35"/>
      <c r="AWH996" s="35"/>
      <c r="AWI996" s="35"/>
      <c r="BGD996" s="35"/>
      <c r="BGE996" s="35"/>
      <c r="BPZ996" s="35"/>
      <c r="BQA996" s="35"/>
      <c r="BZV996" s="35"/>
      <c r="BZW996" s="35"/>
      <c r="CJR996" s="35"/>
      <c r="CJS996" s="35"/>
      <c r="CTN996" s="35"/>
      <c r="CTO996" s="35"/>
      <c r="DDJ996" s="35"/>
      <c r="DDK996" s="35"/>
      <c r="DNF996" s="35"/>
      <c r="DNG996" s="35"/>
      <c r="DXB996" s="35"/>
      <c r="DXC996" s="35"/>
      <c r="EGX996" s="35"/>
      <c r="EGY996" s="35"/>
      <c r="EQT996" s="35"/>
      <c r="EQU996" s="35"/>
      <c r="FAP996" s="35"/>
      <c r="FAQ996" s="35"/>
      <c r="FKL996" s="35"/>
      <c r="FKM996" s="35"/>
      <c r="FUH996" s="35"/>
      <c r="FUI996" s="35"/>
      <c r="GED996" s="35"/>
      <c r="GEE996" s="35"/>
      <c r="GNZ996" s="35"/>
      <c r="GOA996" s="35"/>
      <c r="GXV996" s="35"/>
      <c r="GXW996" s="35"/>
      <c r="HHR996" s="35"/>
      <c r="HHS996" s="35"/>
      <c r="HRN996" s="35"/>
      <c r="HRO996" s="35"/>
      <c r="IBJ996" s="35"/>
      <c r="IBK996" s="35"/>
      <c r="ILF996" s="35"/>
      <c r="ILG996" s="35"/>
      <c r="IVB996" s="35"/>
      <c r="IVC996" s="35"/>
      <c r="JEX996" s="35"/>
      <c r="JEY996" s="35"/>
      <c r="JOT996" s="35"/>
      <c r="JOU996" s="35"/>
      <c r="JYP996" s="35"/>
      <c r="JYQ996" s="35"/>
      <c r="KIL996" s="35"/>
      <c r="KIM996" s="35"/>
      <c r="KSH996" s="35"/>
      <c r="KSI996" s="35"/>
      <c r="LCD996" s="35"/>
      <c r="LCE996" s="35"/>
      <c r="LLZ996" s="35"/>
      <c r="LMA996" s="35"/>
      <c r="LVV996" s="35"/>
      <c r="LVW996" s="35"/>
      <c r="MFR996" s="35"/>
      <c r="MFS996" s="35"/>
      <c r="MPN996" s="35"/>
      <c r="MPO996" s="35"/>
      <c r="MZJ996" s="35"/>
      <c r="MZK996" s="35"/>
      <c r="NJF996" s="35"/>
      <c r="NJG996" s="35"/>
      <c r="NTB996" s="35"/>
      <c r="NTC996" s="35"/>
      <c r="OCX996" s="35"/>
      <c r="OCY996" s="35"/>
      <c r="OMT996" s="35"/>
      <c r="OMU996" s="35"/>
      <c r="OWP996" s="35"/>
      <c r="OWQ996" s="35"/>
      <c r="PGL996" s="35"/>
      <c r="PGM996" s="35"/>
      <c r="PQH996" s="35"/>
      <c r="PQI996" s="35"/>
      <c r="QAD996" s="35"/>
      <c r="QAE996" s="35"/>
      <c r="QJZ996" s="35"/>
      <c r="QKA996" s="35"/>
      <c r="QTV996" s="35"/>
      <c r="QTW996" s="35"/>
      <c r="RDR996" s="35"/>
      <c r="RDS996" s="35"/>
      <c r="RNN996" s="35"/>
      <c r="RNO996" s="35"/>
      <c r="RXJ996" s="35"/>
      <c r="RXK996" s="35"/>
      <c r="SHF996" s="35"/>
      <c r="SHG996" s="35"/>
      <c r="SRB996" s="35"/>
      <c r="SRC996" s="35"/>
      <c r="TAX996" s="35"/>
      <c r="TAY996" s="35"/>
      <c r="TKT996" s="35"/>
      <c r="TKU996" s="35"/>
      <c r="TUP996" s="35"/>
      <c r="TUQ996" s="35"/>
      <c r="UEL996" s="35"/>
      <c r="UEM996" s="35"/>
      <c r="UOH996" s="35"/>
      <c r="UOI996" s="35"/>
      <c r="UYD996" s="35"/>
      <c r="UYE996" s="35"/>
      <c r="VHZ996" s="35"/>
      <c r="VIA996" s="35"/>
      <c r="VRV996" s="35"/>
      <c r="VRW996" s="35"/>
      <c r="WBR996" s="35"/>
      <c r="WBS996" s="35"/>
      <c r="WLN996" s="35"/>
      <c r="WLO996" s="35"/>
      <c r="WVJ996" s="35"/>
      <c r="WVK996" s="35"/>
    </row>
    <row r="997" spans="1:771 1026:1795 2050:2819 3074:3843 4098:4867 5122:5891 6146:6915 7170:7939 8194:8963 9218:9987 10242:11011 11266:12035 12290:13059 13314:14083 14338:15107 15362:16131" s="35" customFormat="1" ht="55.2" x14ac:dyDescent="0.3">
      <c r="A997" s="28">
        <v>93</v>
      </c>
      <c r="B997" s="29" t="s">
        <v>799</v>
      </c>
      <c r="C997" s="30" t="s">
        <v>803</v>
      </c>
      <c r="D997" s="31" t="s">
        <v>13</v>
      </c>
      <c r="E997" s="32">
        <f>12.6+12.3</f>
        <v>24.9</v>
      </c>
      <c r="F997" s="33"/>
      <c r="G997" s="33"/>
      <c r="H997" s="34" t="s">
        <v>804</v>
      </c>
    </row>
    <row r="998" spans="1:771 1026:1795 2050:2819 3074:3843 4098:4867 5122:5891 6146:6915 7170:7939 8194:8963 9218:9987 10242:11011 11266:12035 12290:13059 13314:14083 14338:15107 15362:16131" s="35" customFormat="1" x14ac:dyDescent="0.3">
      <c r="A998" s="36"/>
      <c r="B998" s="72" t="s">
        <v>800</v>
      </c>
      <c r="C998" s="38" t="s">
        <v>14</v>
      </c>
      <c r="D998" s="39"/>
      <c r="E998" s="44"/>
      <c r="F998" s="40"/>
      <c r="G998" s="41">
        <f>SUM(G999)</f>
        <v>259059600</v>
      </c>
      <c r="H998" s="42"/>
    </row>
    <row r="999" spans="1:771 1026:1795 2050:2819 3074:3843 4098:4867 5122:5891 6146:6915 7170:7939 8194:8963 9218:9987 10242:11011 11266:12035 12290:13059 13314:14083 14338:15107 15362:16131" s="35" customFormat="1" ht="78" x14ac:dyDescent="0.3">
      <c r="A999" s="36"/>
      <c r="B999" s="72" t="s">
        <v>801</v>
      </c>
      <c r="C999" s="43" t="s">
        <v>55</v>
      </c>
      <c r="D999" s="39" t="s">
        <v>13</v>
      </c>
      <c r="E999" s="73">
        <v>24.9</v>
      </c>
      <c r="F999" s="153">
        <v>10404000</v>
      </c>
      <c r="G999" s="40">
        <f>E999*F999</f>
        <v>259059600</v>
      </c>
      <c r="H999" s="42"/>
    </row>
    <row r="1000" spans="1:771 1026:1795 2050:2819 3074:3843 4098:4867 5122:5891 6146:6915 7170:7939 8194:8963 9218:9987 10242:11011 11266:12035 12290:13059 13314:14083 14338:15107 15362:16131" s="35" customFormat="1" x14ac:dyDescent="0.3">
      <c r="A1000" s="36"/>
      <c r="B1000" s="72" t="s">
        <v>802</v>
      </c>
      <c r="C1000" s="47" t="s">
        <v>35</v>
      </c>
      <c r="D1000" s="39"/>
      <c r="E1000" s="73"/>
      <c r="F1000" s="40"/>
      <c r="G1000" s="41">
        <f>SUM(G1001:G1007)</f>
        <v>2765544.0000000005</v>
      </c>
      <c r="H1000" s="45"/>
    </row>
    <row r="1001" spans="1:771 1026:1795 2050:2819 3074:3843 4098:4867 5122:5891 6146:6915 7170:7939 8194:8963 9218:9987 10242:11011 11266:12035 12290:13059 13314:14083 14338:15107 15362:16131" s="35" customFormat="1" ht="69" x14ac:dyDescent="0.3">
      <c r="A1001" s="36"/>
      <c r="B1001" s="72"/>
      <c r="C1001" s="101" t="s">
        <v>805</v>
      </c>
      <c r="D1001" s="39" t="s">
        <v>234</v>
      </c>
      <c r="E1001" s="73">
        <f>1.94*3.5</f>
        <v>6.79</v>
      </c>
      <c r="F1001" s="74"/>
      <c r="G1001" s="40">
        <f t="shared" ref="G1001:G1007" si="16">E1001*F1001</f>
        <v>0</v>
      </c>
      <c r="H1001" s="45" t="s">
        <v>2450</v>
      </c>
    </row>
    <row r="1002" spans="1:771 1026:1795 2050:2819 3074:3843 4098:4867 5122:5891 6146:6915 7170:7939 8194:8963 9218:9987 10242:11011 11266:12035 12290:13059 13314:14083 14338:15107 15362:16131" s="35" customFormat="1" ht="46.8" x14ac:dyDescent="0.3">
      <c r="A1002" s="36"/>
      <c r="B1002" s="72"/>
      <c r="C1002" s="66" t="s">
        <v>806</v>
      </c>
      <c r="D1002" s="39" t="s">
        <v>234</v>
      </c>
      <c r="E1002" s="73">
        <f>2*6.3</f>
        <v>12.6</v>
      </c>
      <c r="F1002" s="74"/>
      <c r="G1002" s="40">
        <f t="shared" si="16"/>
        <v>0</v>
      </c>
      <c r="H1002" s="45" t="s">
        <v>2451</v>
      </c>
    </row>
    <row r="1003" spans="1:771 1026:1795 2050:2819 3074:3843 4098:4867 5122:5891 6146:6915 7170:7939 8194:8963 9218:9987 10242:11011 11266:12035 12290:13059 13314:14083 14338:15107 15362:16131" s="35" customFormat="1" x14ac:dyDescent="0.3">
      <c r="A1003" s="36"/>
      <c r="B1003" s="72"/>
      <c r="C1003" s="66" t="s">
        <v>187</v>
      </c>
      <c r="D1003" s="39" t="s">
        <v>231</v>
      </c>
      <c r="E1003" s="73">
        <f>0.4*0.4*2.2*2</f>
        <v>0.70400000000000018</v>
      </c>
      <c r="F1003" s="40">
        <v>1946000</v>
      </c>
      <c r="G1003" s="40">
        <f t="shared" si="16"/>
        <v>1369984.0000000005</v>
      </c>
      <c r="H1003" s="45"/>
    </row>
    <row r="1004" spans="1:771 1026:1795 2050:2819 3074:3843 4098:4867 5122:5891 6146:6915 7170:7939 8194:8963 9218:9987 10242:11011 11266:12035 12290:13059 13314:14083 14338:15107 15362:16131" s="35" customFormat="1" x14ac:dyDescent="0.3">
      <c r="A1004" s="36"/>
      <c r="B1004" s="72"/>
      <c r="C1004" s="66" t="s">
        <v>188</v>
      </c>
      <c r="D1004" s="39" t="s">
        <v>234</v>
      </c>
      <c r="E1004" s="73">
        <f>0.4*0.4*8</f>
        <v>1.2800000000000002</v>
      </c>
      <c r="F1004" s="74">
        <v>107000</v>
      </c>
      <c r="G1004" s="40">
        <f t="shared" si="16"/>
        <v>136960.00000000003</v>
      </c>
      <c r="H1004" s="45"/>
    </row>
    <row r="1005" spans="1:771 1026:1795 2050:2819 3074:3843 4098:4867 5122:5891 6146:6915 7170:7939 8194:8963 9218:9987 10242:11011 11266:12035 12290:13059 13314:14083 14338:15107 15362:16131" s="35" customFormat="1" x14ac:dyDescent="0.3">
      <c r="A1005" s="36"/>
      <c r="B1005" s="72"/>
      <c r="C1005" s="66" t="s">
        <v>115</v>
      </c>
      <c r="D1005" s="39" t="s">
        <v>234</v>
      </c>
      <c r="E1005" s="73">
        <f>4.23*2.2</f>
        <v>9.3060000000000009</v>
      </c>
      <c r="F1005" s="40">
        <v>100000</v>
      </c>
      <c r="G1005" s="40">
        <f t="shared" si="16"/>
        <v>930600.00000000012</v>
      </c>
      <c r="H1005" s="45"/>
    </row>
    <row r="1006" spans="1:771 1026:1795 2050:2819 3074:3843 4098:4867 5122:5891 6146:6915 7170:7939 8194:8963 9218:9987 10242:11011 11266:12035 12290:13059 13314:14083 14338:15107 15362:16131" s="35" customFormat="1" x14ac:dyDescent="0.3">
      <c r="A1006" s="36"/>
      <c r="B1006" s="72"/>
      <c r="C1006" s="66" t="s">
        <v>18</v>
      </c>
      <c r="D1006" s="39" t="s">
        <v>234</v>
      </c>
      <c r="E1006" s="73">
        <f>5*1.6</f>
        <v>8</v>
      </c>
      <c r="F1006" s="40">
        <v>41000</v>
      </c>
      <c r="G1006" s="40">
        <f t="shared" si="16"/>
        <v>328000</v>
      </c>
      <c r="H1006" s="45"/>
    </row>
    <row r="1007" spans="1:771 1026:1795 2050:2819 3074:3843 4098:4867 5122:5891 6146:6915 7170:7939 8194:8963 9218:9987 10242:11011 11266:12035 12290:13059 13314:14083 14338:15107 15362:16131" s="35" customFormat="1" ht="46.8" x14ac:dyDescent="0.3">
      <c r="A1007" s="36"/>
      <c r="B1007" s="72"/>
      <c r="C1007" s="66" t="s">
        <v>807</v>
      </c>
      <c r="D1007" s="39" t="s">
        <v>234</v>
      </c>
      <c r="E1007" s="73">
        <v>0.48</v>
      </c>
      <c r="F1007" s="74"/>
      <c r="G1007" s="40">
        <f t="shared" si="16"/>
        <v>0</v>
      </c>
      <c r="H1007" s="45" t="s">
        <v>179</v>
      </c>
    </row>
    <row r="1008" spans="1:771 1026:1795 2050:2819 3074:3843 4098:4867 5122:5891 6146:6915 7170:7939 8194:8963 9218:9987 10242:11011 11266:12035 12290:13059 13314:14083 14338:15107 15362:16131" s="35" customFormat="1" x14ac:dyDescent="0.3">
      <c r="A1008" s="36"/>
      <c r="B1008" s="46"/>
      <c r="C1008" s="51" t="s">
        <v>23</v>
      </c>
      <c r="D1008" s="39"/>
      <c r="E1008" s="1"/>
      <c r="F1008" s="2"/>
      <c r="G1008" s="41">
        <f>SUM(G1009)</f>
        <v>3060000</v>
      </c>
      <c r="H1008" s="52"/>
    </row>
    <row r="1009" spans="1:771 1026:1795 2050:2819 3074:3843 4098:4867 5122:5891 6146:6915 7170:7939 8194:8963 9218:9987 10242:11011 11266:12035 12290:13059 13314:14083 14338:15107 15362:16131" s="35" customFormat="1" x14ac:dyDescent="0.3">
      <c r="A1009" s="36"/>
      <c r="B1009" s="46"/>
      <c r="C1009" s="50" t="s">
        <v>24</v>
      </c>
      <c r="D1009" s="39" t="s">
        <v>25</v>
      </c>
      <c r="E1009" s="1">
        <f>1*30*6</f>
        <v>180</v>
      </c>
      <c r="F1009" s="2">
        <v>17000</v>
      </c>
      <c r="G1009" s="40">
        <f>E1009*F1009</f>
        <v>3060000</v>
      </c>
      <c r="H1009" s="42"/>
    </row>
    <row r="1010" spans="1:771 1026:1795 2050:2819 3074:3843 4098:4867 5122:5891 6146:6915 7170:7939 8194:8963 9218:9987 10242:11011 11266:12035 12290:13059 13314:14083 14338:15107 15362:16131" s="35" customFormat="1" ht="65.400000000000006" thickBot="1" x14ac:dyDescent="0.35">
      <c r="A1010" s="53"/>
      <c r="B1010" s="54"/>
      <c r="C1010" s="55" t="s">
        <v>2331</v>
      </c>
      <c r="D1010" s="56"/>
      <c r="E1010" s="5"/>
      <c r="F1010" s="6"/>
      <c r="G1010" s="57"/>
      <c r="H1010" s="58"/>
    </row>
    <row r="1011" spans="1:771 1026:1795 2050:2819 3074:3843 4098:4867 5122:5891 6146:6915 7170:7939 8194:8963 9218:9987 10242:11011 11266:12035 12290:13059 13314:14083 14338:15107 15362:16131" s="59" customFormat="1" ht="31.8" thickBot="1" x14ac:dyDescent="0.35">
      <c r="A1011" s="154"/>
      <c r="B1011" s="155" t="s">
        <v>26</v>
      </c>
      <c r="C1011" s="156"/>
      <c r="D1011" s="154"/>
      <c r="E1011" s="157"/>
      <c r="F1011" s="158"/>
      <c r="G1011" s="159">
        <f>SUM(G997:G1010)/2</f>
        <v>264885144</v>
      </c>
      <c r="H1011" s="160"/>
      <c r="IX1011" s="35"/>
      <c r="IY1011" s="35"/>
      <c r="ST1011" s="35"/>
      <c r="SU1011" s="35"/>
      <c r="ACP1011" s="35"/>
      <c r="ACQ1011" s="35"/>
      <c r="AML1011" s="35"/>
      <c r="AMM1011" s="35"/>
      <c r="AWH1011" s="35"/>
      <c r="AWI1011" s="35"/>
      <c r="BGD1011" s="35"/>
      <c r="BGE1011" s="35"/>
      <c r="BPZ1011" s="35"/>
      <c r="BQA1011" s="35"/>
      <c r="BZV1011" s="35"/>
      <c r="BZW1011" s="35"/>
      <c r="CJR1011" s="35"/>
      <c r="CJS1011" s="35"/>
      <c r="CTN1011" s="35"/>
      <c r="CTO1011" s="35"/>
      <c r="DDJ1011" s="35"/>
      <c r="DDK1011" s="35"/>
      <c r="DNF1011" s="35"/>
      <c r="DNG1011" s="35"/>
      <c r="DXB1011" s="35"/>
      <c r="DXC1011" s="35"/>
      <c r="EGX1011" s="35"/>
      <c r="EGY1011" s="35"/>
      <c r="EQT1011" s="35"/>
      <c r="EQU1011" s="35"/>
      <c r="FAP1011" s="35"/>
      <c r="FAQ1011" s="35"/>
      <c r="FKL1011" s="35"/>
      <c r="FKM1011" s="35"/>
      <c r="FUH1011" s="35"/>
      <c r="FUI1011" s="35"/>
      <c r="GED1011" s="35"/>
      <c r="GEE1011" s="35"/>
      <c r="GNZ1011" s="35"/>
      <c r="GOA1011" s="35"/>
      <c r="GXV1011" s="35"/>
      <c r="GXW1011" s="35"/>
      <c r="HHR1011" s="35"/>
      <c r="HHS1011" s="35"/>
      <c r="HRN1011" s="35"/>
      <c r="HRO1011" s="35"/>
      <c r="IBJ1011" s="35"/>
      <c r="IBK1011" s="35"/>
      <c r="ILF1011" s="35"/>
      <c r="ILG1011" s="35"/>
      <c r="IVB1011" s="35"/>
      <c r="IVC1011" s="35"/>
      <c r="JEX1011" s="35"/>
      <c r="JEY1011" s="35"/>
      <c r="JOT1011" s="35"/>
      <c r="JOU1011" s="35"/>
      <c r="JYP1011" s="35"/>
      <c r="JYQ1011" s="35"/>
      <c r="KIL1011" s="35"/>
      <c r="KIM1011" s="35"/>
      <c r="KSH1011" s="35"/>
      <c r="KSI1011" s="35"/>
      <c r="LCD1011" s="35"/>
      <c r="LCE1011" s="35"/>
      <c r="LLZ1011" s="35"/>
      <c r="LMA1011" s="35"/>
      <c r="LVV1011" s="35"/>
      <c r="LVW1011" s="35"/>
      <c r="MFR1011" s="35"/>
      <c r="MFS1011" s="35"/>
      <c r="MPN1011" s="35"/>
      <c r="MPO1011" s="35"/>
      <c r="MZJ1011" s="35"/>
      <c r="MZK1011" s="35"/>
      <c r="NJF1011" s="35"/>
      <c r="NJG1011" s="35"/>
      <c r="NTB1011" s="35"/>
      <c r="NTC1011" s="35"/>
      <c r="OCX1011" s="35"/>
      <c r="OCY1011" s="35"/>
      <c r="OMT1011" s="35"/>
      <c r="OMU1011" s="35"/>
      <c r="OWP1011" s="35"/>
      <c r="OWQ1011" s="35"/>
      <c r="PGL1011" s="35"/>
      <c r="PGM1011" s="35"/>
      <c r="PQH1011" s="35"/>
      <c r="PQI1011" s="35"/>
      <c r="QAD1011" s="35"/>
      <c r="QAE1011" s="35"/>
      <c r="QJZ1011" s="35"/>
      <c r="QKA1011" s="35"/>
      <c r="QTV1011" s="35"/>
      <c r="QTW1011" s="35"/>
      <c r="RDR1011" s="35"/>
      <c r="RDS1011" s="35"/>
      <c r="RNN1011" s="35"/>
      <c r="RNO1011" s="35"/>
      <c r="RXJ1011" s="35"/>
      <c r="RXK1011" s="35"/>
      <c r="SHF1011" s="35"/>
      <c r="SHG1011" s="35"/>
      <c r="SRB1011" s="35"/>
      <c r="SRC1011" s="35"/>
      <c r="TAX1011" s="35"/>
      <c r="TAY1011" s="35"/>
      <c r="TKT1011" s="35"/>
      <c r="TKU1011" s="35"/>
      <c r="TUP1011" s="35"/>
      <c r="TUQ1011" s="35"/>
      <c r="UEL1011" s="35"/>
      <c r="UEM1011" s="35"/>
      <c r="UOH1011" s="35"/>
      <c r="UOI1011" s="35"/>
      <c r="UYD1011" s="35"/>
      <c r="UYE1011" s="35"/>
      <c r="VHZ1011" s="35"/>
      <c r="VIA1011" s="35"/>
      <c r="VRV1011" s="35"/>
      <c r="VRW1011" s="35"/>
      <c r="WBR1011" s="35"/>
      <c r="WBS1011" s="35"/>
      <c r="WLN1011" s="35"/>
      <c r="WLO1011" s="35"/>
      <c r="WVJ1011" s="35"/>
      <c r="WVK1011" s="35"/>
    </row>
    <row r="1012" spans="1:771 1026:1795 2050:2819 3074:3843 4098:4867 5122:5891 6146:6915 7170:7939 8194:8963 9218:9987 10242:11011 11266:12035 12290:13059 13314:14083 14338:15107 15362:16131" s="35" customFormat="1" ht="55.2" x14ac:dyDescent="0.3">
      <c r="A1012" s="28">
        <v>94</v>
      </c>
      <c r="B1012" s="29" t="s">
        <v>810</v>
      </c>
      <c r="C1012" s="30" t="s">
        <v>2176</v>
      </c>
      <c r="D1012" s="31" t="s">
        <v>13</v>
      </c>
      <c r="E1012" s="32">
        <f>10.5+3.7</f>
        <v>14.2</v>
      </c>
      <c r="F1012" s="33"/>
      <c r="G1012" s="33"/>
      <c r="H1012" s="34" t="s">
        <v>812</v>
      </c>
    </row>
    <row r="1013" spans="1:771 1026:1795 2050:2819 3074:3843 4098:4867 5122:5891 6146:6915 7170:7939 8194:8963 9218:9987 10242:11011 11266:12035 12290:13059 13314:14083 14338:15107 15362:16131" s="35" customFormat="1" x14ac:dyDescent="0.3">
      <c r="A1013" s="36"/>
      <c r="B1013" s="72" t="s">
        <v>808</v>
      </c>
      <c r="C1013" s="38" t="s">
        <v>14</v>
      </c>
      <c r="D1013" s="39"/>
      <c r="E1013" s="44"/>
      <c r="F1013" s="40"/>
      <c r="G1013" s="41">
        <f>SUM(G1014)</f>
        <v>147736800</v>
      </c>
      <c r="H1013" s="42"/>
    </row>
    <row r="1014" spans="1:771 1026:1795 2050:2819 3074:3843 4098:4867 5122:5891 6146:6915 7170:7939 8194:8963 9218:9987 10242:11011 11266:12035 12290:13059 13314:14083 14338:15107 15362:16131" s="35" customFormat="1" ht="78" x14ac:dyDescent="0.3">
      <c r="A1014" s="36"/>
      <c r="B1014" s="72" t="s">
        <v>809</v>
      </c>
      <c r="C1014" s="43" t="s">
        <v>55</v>
      </c>
      <c r="D1014" s="39" t="s">
        <v>13</v>
      </c>
      <c r="E1014" s="44">
        <f>10.5+3.7</f>
        <v>14.2</v>
      </c>
      <c r="F1014" s="153">
        <v>10404000</v>
      </c>
      <c r="G1014" s="40">
        <f>E1014*F1014</f>
        <v>147736800</v>
      </c>
      <c r="H1014" s="42"/>
    </row>
    <row r="1015" spans="1:771 1026:1795 2050:2819 3074:3843 4098:4867 5122:5891 6146:6915 7170:7939 8194:8963 9218:9987 10242:11011 11266:12035 12290:13059 13314:14083 14338:15107 15362:16131" s="35" customFormat="1" x14ac:dyDescent="0.3">
      <c r="A1015" s="36"/>
      <c r="B1015" s="72" t="s">
        <v>811</v>
      </c>
      <c r="C1015" s="47" t="s">
        <v>35</v>
      </c>
      <c r="D1015" s="39"/>
      <c r="E1015" s="73"/>
      <c r="F1015" s="40"/>
      <c r="G1015" s="41">
        <f>SUM(G1016:G1019)</f>
        <v>11413090.000000002</v>
      </c>
      <c r="H1015" s="45"/>
    </row>
    <row r="1016" spans="1:771 1026:1795 2050:2819 3074:3843 4098:4867 5122:5891 6146:6915 7170:7939 8194:8963 9218:9987 10242:11011 11266:12035 12290:13059 13314:14083 14338:15107 15362:16131" s="35" customFormat="1" ht="46.8" x14ac:dyDescent="0.3">
      <c r="A1016" s="36"/>
      <c r="B1016" s="72"/>
      <c r="C1016" s="66" t="s">
        <v>813</v>
      </c>
      <c r="D1016" s="39" t="s">
        <v>234</v>
      </c>
      <c r="E1016" s="73">
        <f>7*8.5</f>
        <v>59.5</v>
      </c>
      <c r="F1016" s="74"/>
      <c r="G1016" s="40">
        <f>E1016*F1016</f>
        <v>0</v>
      </c>
      <c r="H1016" s="45" t="s">
        <v>179</v>
      </c>
    </row>
    <row r="1017" spans="1:771 1026:1795 2050:2819 3074:3843 4098:4867 5122:5891 6146:6915 7170:7939 8194:8963 9218:9987 10242:11011 11266:12035 12290:13059 13314:14083 14338:15107 15362:16131" s="35" customFormat="1" ht="31.2" x14ac:dyDescent="0.3">
      <c r="A1017" s="36"/>
      <c r="B1017" s="72"/>
      <c r="C1017" s="66" t="s">
        <v>814</v>
      </c>
      <c r="D1017" s="39" t="s">
        <v>234</v>
      </c>
      <c r="E1017" s="73">
        <f>(1.8*2.4)+(2*2.4)</f>
        <v>9.120000000000001</v>
      </c>
      <c r="F1017" s="74">
        <v>1032000</v>
      </c>
      <c r="G1017" s="40">
        <f>E1017*F1017</f>
        <v>9411840.0000000019</v>
      </c>
      <c r="H1017" s="45" t="s">
        <v>815</v>
      </c>
    </row>
    <row r="1018" spans="1:771 1026:1795 2050:2819 3074:3843 4098:4867 5122:5891 6146:6915 7170:7939 8194:8963 9218:9987 10242:11011 11266:12035 12290:13059 13314:14083 14338:15107 15362:16131" s="35" customFormat="1" x14ac:dyDescent="0.3">
      <c r="A1018" s="36"/>
      <c r="B1018" s="72"/>
      <c r="C1018" s="66" t="s">
        <v>305</v>
      </c>
      <c r="D1018" s="39" t="s">
        <v>234</v>
      </c>
      <c r="E1018" s="73">
        <f>2*7</f>
        <v>14</v>
      </c>
      <c r="F1018" s="40">
        <v>140000</v>
      </c>
      <c r="G1018" s="40">
        <f>E1018*F1018</f>
        <v>1960000</v>
      </c>
      <c r="H1018" s="45"/>
    </row>
    <row r="1019" spans="1:771 1026:1795 2050:2819 3074:3843 4098:4867 5122:5891 6146:6915 7170:7939 8194:8963 9218:9987 10242:11011 11266:12035 12290:13059 13314:14083 14338:15107 15362:16131" s="35" customFormat="1" x14ac:dyDescent="0.3">
      <c r="A1019" s="36"/>
      <c r="B1019" s="72"/>
      <c r="C1019" s="66" t="s">
        <v>816</v>
      </c>
      <c r="D1019" s="39" t="s">
        <v>19</v>
      </c>
      <c r="E1019" s="73">
        <v>5</v>
      </c>
      <c r="F1019" s="74">
        <f>33000/4</f>
        <v>8250</v>
      </c>
      <c r="G1019" s="40">
        <f>E1019*F1019</f>
        <v>41250</v>
      </c>
      <c r="H1019" s="45"/>
    </row>
    <row r="1020" spans="1:771 1026:1795 2050:2819 3074:3843 4098:4867 5122:5891 6146:6915 7170:7939 8194:8963 9218:9987 10242:11011 11266:12035 12290:13059 13314:14083 14338:15107 15362:16131" s="35" customFormat="1" x14ac:dyDescent="0.3">
      <c r="A1020" s="36"/>
      <c r="B1020" s="46"/>
      <c r="C1020" s="51" t="s">
        <v>20</v>
      </c>
      <c r="D1020" s="39"/>
      <c r="E1020" s="73"/>
      <c r="F1020" s="40"/>
      <c r="G1020" s="41">
        <f>SUM(G1021:G1024)</f>
        <v>1145000</v>
      </c>
      <c r="H1020" s="52"/>
    </row>
    <row r="1021" spans="1:771 1026:1795 2050:2819 3074:3843 4098:4867 5122:5891 6146:6915 7170:7939 8194:8963 9218:9987 10242:11011 11266:12035 12290:13059 13314:14083 14338:15107 15362:16131" s="77" customFormat="1" x14ac:dyDescent="0.3">
      <c r="A1021" s="36"/>
      <c r="B1021" s="37"/>
      <c r="C1021" s="75" t="s">
        <v>308</v>
      </c>
      <c r="D1021" s="76" t="s">
        <v>234</v>
      </c>
      <c r="E1021" s="73">
        <v>2</v>
      </c>
      <c r="F1021" s="74">
        <v>30000</v>
      </c>
      <c r="G1021" s="40">
        <f>E1021*F1021</f>
        <v>60000</v>
      </c>
      <c r="H1021" s="52"/>
    </row>
    <row r="1022" spans="1:771 1026:1795 2050:2819 3074:3843 4098:4867 5122:5891 6146:6915 7170:7939 8194:8963 9218:9987 10242:11011 11266:12035 12290:13059 13314:14083 14338:15107 15362:16131" s="77" customFormat="1" x14ac:dyDescent="0.3">
      <c r="A1022" s="36"/>
      <c r="B1022" s="37"/>
      <c r="C1022" s="75" t="s">
        <v>817</v>
      </c>
      <c r="D1022" s="76" t="s">
        <v>234</v>
      </c>
      <c r="E1022" s="73">
        <v>2.5</v>
      </c>
      <c r="F1022" s="74">
        <v>30000</v>
      </c>
      <c r="G1022" s="40">
        <f>E1022*F1022</f>
        <v>75000</v>
      </c>
      <c r="H1022" s="52"/>
    </row>
    <row r="1023" spans="1:771 1026:1795 2050:2819 3074:3843 4098:4867 5122:5891 6146:6915 7170:7939 8194:8963 9218:9987 10242:11011 11266:12035 12290:13059 13314:14083 14338:15107 15362:16131" s="77" customFormat="1" x14ac:dyDescent="0.3">
      <c r="A1023" s="36"/>
      <c r="B1023" s="37"/>
      <c r="C1023" s="75" t="s">
        <v>818</v>
      </c>
      <c r="D1023" s="76" t="s">
        <v>21</v>
      </c>
      <c r="E1023" s="73">
        <v>1</v>
      </c>
      <c r="F1023" s="74">
        <v>60000</v>
      </c>
      <c r="G1023" s="40">
        <f>E1023*F1023</f>
        <v>60000</v>
      </c>
      <c r="H1023" s="52"/>
    </row>
    <row r="1024" spans="1:771 1026:1795 2050:2819 3074:3843 4098:4867 5122:5891 6146:6915 7170:7939 8194:8963 9218:9987 10242:11011 11266:12035 12290:13059 13314:14083 14338:15107 15362:16131" s="77" customFormat="1" x14ac:dyDescent="0.3">
      <c r="A1024" s="36"/>
      <c r="B1024" s="37"/>
      <c r="C1024" s="75" t="s">
        <v>819</v>
      </c>
      <c r="D1024" s="76" t="s">
        <v>21</v>
      </c>
      <c r="E1024" s="73">
        <v>1</v>
      </c>
      <c r="F1024" s="74">
        <v>950000</v>
      </c>
      <c r="G1024" s="40">
        <f>E1024*F1024</f>
        <v>950000</v>
      </c>
      <c r="H1024" s="52"/>
    </row>
    <row r="1025" spans="1:771 1026:1795 2050:2819 3074:3843 4098:4867 5122:5891 6146:6915 7170:7939 8194:8963 9218:9987 10242:11011 11266:12035 12290:13059 13314:14083 14338:15107 15362:16131" s="35" customFormat="1" x14ac:dyDescent="0.3">
      <c r="A1025" s="36"/>
      <c r="B1025" s="46"/>
      <c r="C1025" s="51" t="s">
        <v>23</v>
      </c>
      <c r="D1025" s="39"/>
      <c r="E1025" s="1"/>
      <c r="F1025" s="2"/>
      <c r="G1025" s="41">
        <f>SUM(G1026:G1027)</f>
        <v>6120000</v>
      </c>
      <c r="H1025" s="52"/>
    </row>
    <row r="1026" spans="1:771 1026:1795 2050:2819 3074:3843 4098:4867 5122:5891 6146:6915 7170:7939 8194:8963 9218:9987 10242:11011 11266:12035 12290:13059 13314:14083 14338:15107 15362:16131" s="35" customFormat="1" x14ac:dyDescent="0.3">
      <c r="A1026" s="36"/>
      <c r="B1026" s="46"/>
      <c r="C1026" s="50" t="s">
        <v>24</v>
      </c>
      <c r="D1026" s="39" t="s">
        <v>25</v>
      </c>
      <c r="E1026" s="1">
        <f>2*30*6</f>
        <v>360</v>
      </c>
      <c r="F1026" s="2">
        <v>17000</v>
      </c>
      <c r="G1026" s="40">
        <f>E1026*F1026</f>
        <v>6120000</v>
      </c>
      <c r="H1026" s="42"/>
    </row>
    <row r="1027" spans="1:771 1026:1795 2050:2819 3074:3843 4098:4867 5122:5891 6146:6915 7170:7939 8194:8963 9218:9987 10242:11011 11266:12035 12290:13059 13314:14083 14338:15107 15362:16131" s="35" customFormat="1" ht="65.400000000000006" thickBot="1" x14ac:dyDescent="0.35">
      <c r="A1027" s="53"/>
      <c r="B1027" s="54"/>
      <c r="C1027" s="55" t="s">
        <v>2331</v>
      </c>
      <c r="D1027" s="56"/>
      <c r="E1027" s="5"/>
      <c r="F1027" s="6"/>
      <c r="G1027" s="57"/>
      <c r="H1027" s="58"/>
    </row>
    <row r="1028" spans="1:771 1026:1795 2050:2819 3074:3843 4098:4867 5122:5891 6146:6915 7170:7939 8194:8963 9218:9987 10242:11011 11266:12035 12290:13059 13314:14083 14338:15107 15362:16131" s="59" customFormat="1" ht="31.8" thickBot="1" x14ac:dyDescent="0.35">
      <c r="A1028" s="154"/>
      <c r="B1028" s="155" t="s">
        <v>26</v>
      </c>
      <c r="C1028" s="156"/>
      <c r="D1028" s="154"/>
      <c r="E1028" s="157"/>
      <c r="F1028" s="158"/>
      <c r="G1028" s="159">
        <f>SUM(G1012:G1027)/2</f>
        <v>166414890</v>
      </c>
      <c r="H1028" s="160"/>
      <c r="IX1028" s="35"/>
      <c r="IY1028" s="35"/>
      <c r="ST1028" s="35"/>
      <c r="SU1028" s="35"/>
      <c r="ACP1028" s="35"/>
      <c r="ACQ1028" s="35"/>
      <c r="AML1028" s="35"/>
      <c r="AMM1028" s="35"/>
      <c r="AWH1028" s="35"/>
      <c r="AWI1028" s="35"/>
      <c r="BGD1028" s="35"/>
      <c r="BGE1028" s="35"/>
      <c r="BPZ1028" s="35"/>
      <c r="BQA1028" s="35"/>
      <c r="BZV1028" s="35"/>
      <c r="BZW1028" s="35"/>
      <c r="CJR1028" s="35"/>
      <c r="CJS1028" s="35"/>
      <c r="CTN1028" s="35"/>
      <c r="CTO1028" s="35"/>
      <c r="DDJ1028" s="35"/>
      <c r="DDK1028" s="35"/>
      <c r="DNF1028" s="35"/>
      <c r="DNG1028" s="35"/>
      <c r="DXB1028" s="35"/>
      <c r="DXC1028" s="35"/>
      <c r="EGX1028" s="35"/>
      <c r="EGY1028" s="35"/>
      <c r="EQT1028" s="35"/>
      <c r="EQU1028" s="35"/>
      <c r="FAP1028" s="35"/>
      <c r="FAQ1028" s="35"/>
      <c r="FKL1028" s="35"/>
      <c r="FKM1028" s="35"/>
      <c r="FUH1028" s="35"/>
      <c r="FUI1028" s="35"/>
      <c r="GED1028" s="35"/>
      <c r="GEE1028" s="35"/>
      <c r="GNZ1028" s="35"/>
      <c r="GOA1028" s="35"/>
      <c r="GXV1028" s="35"/>
      <c r="GXW1028" s="35"/>
      <c r="HHR1028" s="35"/>
      <c r="HHS1028" s="35"/>
      <c r="HRN1028" s="35"/>
      <c r="HRO1028" s="35"/>
      <c r="IBJ1028" s="35"/>
      <c r="IBK1028" s="35"/>
      <c r="ILF1028" s="35"/>
      <c r="ILG1028" s="35"/>
      <c r="IVB1028" s="35"/>
      <c r="IVC1028" s="35"/>
      <c r="JEX1028" s="35"/>
      <c r="JEY1028" s="35"/>
      <c r="JOT1028" s="35"/>
      <c r="JOU1028" s="35"/>
      <c r="JYP1028" s="35"/>
      <c r="JYQ1028" s="35"/>
      <c r="KIL1028" s="35"/>
      <c r="KIM1028" s="35"/>
      <c r="KSH1028" s="35"/>
      <c r="KSI1028" s="35"/>
      <c r="LCD1028" s="35"/>
      <c r="LCE1028" s="35"/>
      <c r="LLZ1028" s="35"/>
      <c r="LMA1028" s="35"/>
      <c r="LVV1028" s="35"/>
      <c r="LVW1028" s="35"/>
      <c r="MFR1028" s="35"/>
      <c r="MFS1028" s="35"/>
      <c r="MPN1028" s="35"/>
      <c r="MPO1028" s="35"/>
      <c r="MZJ1028" s="35"/>
      <c r="MZK1028" s="35"/>
      <c r="NJF1028" s="35"/>
      <c r="NJG1028" s="35"/>
      <c r="NTB1028" s="35"/>
      <c r="NTC1028" s="35"/>
      <c r="OCX1028" s="35"/>
      <c r="OCY1028" s="35"/>
      <c r="OMT1028" s="35"/>
      <c r="OMU1028" s="35"/>
      <c r="OWP1028" s="35"/>
      <c r="OWQ1028" s="35"/>
      <c r="PGL1028" s="35"/>
      <c r="PGM1028" s="35"/>
      <c r="PQH1028" s="35"/>
      <c r="PQI1028" s="35"/>
      <c r="QAD1028" s="35"/>
      <c r="QAE1028" s="35"/>
      <c r="QJZ1028" s="35"/>
      <c r="QKA1028" s="35"/>
      <c r="QTV1028" s="35"/>
      <c r="QTW1028" s="35"/>
      <c r="RDR1028" s="35"/>
      <c r="RDS1028" s="35"/>
      <c r="RNN1028" s="35"/>
      <c r="RNO1028" s="35"/>
      <c r="RXJ1028" s="35"/>
      <c r="RXK1028" s="35"/>
      <c r="SHF1028" s="35"/>
      <c r="SHG1028" s="35"/>
      <c r="SRB1028" s="35"/>
      <c r="SRC1028" s="35"/>
      <c r="TAX1028" s="35"/>
      <c r="TAY1028" s="35"/>
      <c r="TKT1028" s="35"/>
      <c r="TKU1028" s="35"/>
      <c r="TUP1028" s="35"/>
      <c r="TUQ1028" s="35"/>
      <c r="UEL1028" s="35"/>
      <c r="UEM1028" s="35"/>
      <c r="UOH1028" s="35"/>
      <c r="UOI1028" s="35"/>
      <c r="UYD1028" s="35"/>
      <c r="UYE1028" s="35"/>
      <c r="VHZ1028" s="35"/>
      <c r="VIA1028" s="35"/>
      <c r="VRV1028" s="35"/>
      <c r="VRW1028" s="35"/>
      <c r="WBR1028" s="35"/>
      <c r="WBS1028" s="35"/>
      <c r="WLN1028" s="35"/>
      <c r="WLO1028" s="35"/>
      <c r="WVJ1028" s="35"/>
      <c r="WVK1028" s="35"/>
    </row>
    <row r="1029" spans="1:771 1026:1795 2050:2819 3074:3843 4098:4867 5122:5891 6146:6915 7170:7939 8194:8963 9218:9987 10242:11011 11266:12035 12290:13059 13314:14083 14338:15107 15362:16131" s="35" customFormat="1" ht="55.2" x14ac:dyDescent="0.3">
      <c r="A1029" s="28">
        <v>95</v>
      </c>
      <c r="B1029" s="29" t="s">
        <v>2175</v>
      </c>
      <c r="C1029" s="30" t="s">
        <v>824</v>
      </c>
      <c r="D1029" s="31" t="s">
        <v>13</v>
      </c>
      <c r="E1029" s="32">
        <v>9.1</v>
      </c>
      <c r="F1029" s="33"/>
      <c r="G1029" s="33"/>
      <c r="H1029" s="34" t="s">
        <v>823</v>
      </c>
    </row>
    <row r="1030" spans="1:771 1026:1795 2050:2819 3074:3843 4098:4867 5122:5891 6146:6915 7170:7939 8194:8963 9218:9987 10242:11011 11266:12035 12290:13059 13314:14083 14338:15107 15362:16131" s="35" customFormat="1" x14ac:dyDescent="0.3">
      <c r="A1030" s="36"/>
      <c r="B1030" s="72" t="s">
        <v>820</v>
      </c>
      <c r="C1030" s="38" t="s">
        <v>14</v>
      </c>
      <c r="D1030" s="39"/>
      <c r="E1030" s="44"/>
      <c r="F1030" s="40"/>
      <c r="G1030" s="41">
        <f>SUM(G1031)</f>
        <v>94676400</v>
      </c>
      <c r="H1030" s="42"/>
    </row>
    <row r="1031" spans="1:771 1026:1795 2050:2819 3074:3843 4098:4867 5122:5891 6146:6915 7170:7939 8194:8963 9218:9987 10242:11011 11266:12035 12290:13059 13314:14083 14338:15107 15362:16131" s="35" customFormat="1" ht="78" x14ac:dyDescent="0.3">
      <c r="A1031" s="36"/>
      <c r="B1031" s="72" t="s">
        <v>821</v>
      </c>
      <c r="C1031" s="43" t="s">
        <v>55</v>
      </c>
      <c r="D1031" s="39" t="s">
        <v>13</v>
      </c>
      <c r="E1031" s="44">
        <v>9.1</v>
      </c>
      <c r="F1031" s="153">
        <v>10404000</v>
      </c>
      <c r="G1031" s="40">
        <f>E1031*F1031</f>
        <v>94676400</v>
      </c>
      <c r="H1031" s="42"/>
    </row>
    <row r="1032" spans="1:771 1026:1795 2050:2819 3074:3843 4098:4867 5122:5891 6146:6915 7170:7939 8194:8963 9218:9987 10242:11011 11266:12035 12290:13059 13314:14083 14338:15107 15362:16131" s="35" customFormat="1" x14ac:dyDescent="0.3">
      <c r="A1032" s="36"/>
      <c r="B1032" s="72" t="s">
        <v>822</v>
      </c>
      <c r="C1032" s="47" t="s">
        <v>35</v>
      </c>
      <c r="D1032" s="39"/>
      <c r="E1032" s="73"/>
      <c r="F1032" s="40"/>
      <c r="G1032" s="41">
        <f>SUM(G1033:G1034)</f>
        <v>0</v>
      </c>
      <c r="H1032" s="45"/>
    </row>
    <row r="1033" spans="1:771 1026:1795 2050:2819 3074:3843 4098:4867 5122:5891 6146:6915 7170:7939 8194:8963 9218:9987 10242:11011 11266:12035 12290:13059 13314:14083 14338:15107 15362:16131" s="35" customFormat="1" ht="69" x14ac:dyDescent="0.3">
      <c r="A1033" s="36"/>
      <c r="B1033" s="72"/>
      <c r="C1033" s="101" t="s">
        <v>825</v>
      </c>
      <c r="D1033" s="39" t="s">
        <v>234</v>
      </c>
      <c r="E1033" s="73">
        <f>((1.46+0.54+2)*4.5)/2</f>
        <v>9</v>
      </c>
      <c r="F1033" s="74"/>
      <c r="G1033" s="40">
        <f>E1033*F1033</f>
        <v>0</v>
      </c>
      <c r="H1033" s="104" t="s">
        <v>2453</v>
      </c>
    </row>
    <row r="1034" spans="1:771 1026:1795 2050:2819 3074:3843 4098:4867 5122:5891 6146:6915 7170:7939 8194:8963 9218:9987 10242:11011 11266:12035 12290:13059 13314:14083 14338:15107 15362:16131" s="35" customFormat="1" ht="55.2" x14ac:dyDescent="0.3">
      <c r="A1034" s="36"/>
      <c r="B1034" s="72"/>
      <c r="C1034" s="66" t="s">
        <v>814</v>
      </c>
      <c r="D1034" s="39" t="s">
        <v>234</v>
      </c>
      <c r="E1034" s="73">
        <f>(1.8*2.4)+(2*2.4)</f>
        <v>9.120000000000001</v>
      </c>
      <c r="F1034" s="74"/>
      <c r="G1034" s="40">
        <f>E1034*F1034</f>
        <v>0</v>
      </c>
      <c r="H1034" s="45" t="s">
        <v>2452</v>
      </c>
    </row>
    <row r="1035" spans="1:771 1026:1795 2050:2819 3074:3843 4098:4867 5122:5891 6146:6915 7170:7939 8194:8963 9218:9987 10242:11011 11266:12035 12290:13059 13314:14083 14338:15107 15362:16131" s="35" customFormat="1" x14ac:dyDescent="0.3">
      <c r="A1035" s="36"/>
      <c r="B1035" s="46"/>
      <c r="C1035" s="51" t="s">
        <v>23</v>
      </c>
      <c r="D1035" s="39"/>
      <c r="E1035" s="1"/>
      <c r="F1035" s="2"/>
      <c r="G1035" s="41">
        <f>SUM(G1036:G1037)</f>
        <v>6120000</v>
      </c>
      <c r="H1035" s="52"/>
    </row>
    <row r="1036" spans="1:771 1026:1795 2050:2819 3074:3843 4098:4867 5122:5891 6146:6915 7170:7939 8194:8963 9218:9987 10242:11011 11266:12035 12290:13059 13314:14083 14338:15107 15362:16131" s="35" customFormat="1" x14ac:dyDescent="0.3">
      <c r="A1036" s="36"/>
      <c r="B1036" s="46"/>
      <c r="C1036" s="50" t="s">
        <v>24</v>
      </c>
      <c r="D1036" s="39" t="s">
        <v>25</v>
      </c>
      <c r="E1036" s="1">
        <f>2*30*6</f>
        <v>360</v>
      </c>
      <c r="F1036" s="2">
        <v>17000</v>
      </c>
      <c r="G1036" s="40">
        <f>E1036*F1036</f>
        <v>6120000</v>
      </c>
      <c r="H1036" s="42"/>
    </row>
    <row r="1037" spans="1:771 1026:1795 2050:2819 3074:3843 4098:4867 5122:5891 6146:6915 7170:7939 8194:8963 9218:9987 10242:11011 11266:12035 12290:13059 13314:14083 14338:15107 15362:16131" s="35" customFormat="1" ht="65.400000000000006" thickBot="1" x14ac:dyDescent="0.35">
      <c r="A1037" s="53"/>
      <c r="B1037" s="54"/>
      <c r="C1037" s="55" t="s">
        <v>2331</v>
      </c>
      <c r="D1037" s="56"/>
      <c r="E1037" s="5"/>
      <c r="F1037" s="6"/>
      <c r="G1037" s="57"/>
      <c r="H1037" s="58"/>
    </row>
    <row r="1038" spans="1:771 1026:1795 2050:2819 3074:3843 4098:4867 5122:5891 6146:6915 7170:7939 8194:8963 9218:9987 10242:11011 11266:12035 12290:13059 13314:14083 14338:15107 15362:16131" s="59" customFormat="1" ht="31.8" thickBot="1" x14ac:dyDescent="0.35">
      <c r="A1038" s="154"/>
      <c r="B1038" s="155" t="s">
        <v>26</v>
      </c>
      <c r="C1038" s="156"/>
      <c r="D1038" s="154"/>
      <c r="E1038" s="157"/>
      <c r="F1038" s="158"/>
      <c r="G1038" s="159">
        <f>SUM(G1029:G1037)/2</f>
        <v>100796400</v>
      </c>
      <c r="H1038" s="160"/>
      <c r="IX1038" s="35"/>
      <c r="IY1038" s="35"/>
      <c r="ST1038" s="35"/>
      <c r="SU1038" s="35"/>
      <c r="ACP1038" s="35"/>
      <c r="ACQ1038" s="35"/>
      <c r="AML1038" s="35"/>
      <c r="AMM1038" s="35"/>
      <c r="AWH1038" s="35"/>
      <c r="AWI1038" s="35"/>
      <c r="BGD1038" s="35"/>
      <c r="BGE1038" s="35"/>
      <c r="BPZ1038" s="35"/>
      <c r="BQA1038" s="35"/>
      <c r="BZV1038" s="35"/>
      <c r="BZW1038" s="35"/>
      <c r="CJR1038" s="35"/>
      <c r="CJS1038" s="35"/>
      <c r="CTN1038" s="35"/>
      <c r="CTO1038" s="35"/>
      <c r="DDJ1038" s="35"/>
      <c r="DDK1038" s="35"/>
      <c r="DNF1038" s="35"/>
      <c r="DNG1038" s="35"/>
      <c r="DXB1038" s="35"/>
      <c r="DXC1038" s="35"/>
      <c r="EGX1038" s="35"/>
      <c r="EGY1038" s="35"/>
      <c r="EQT1038" s="35"/>
      <c r="EQU1038" s="35"/>
      <c r="FAP1038" s="35"/>
      <c r="FAQ1038" s="35"/>
      <c r="FKL1038" s="35"/>
      <c r="FKM1038" s="35"/>
      <c r="FUH1038" s="35"/>
      <c r="FUI1038" s="35"/>
      <c r="GED1038" s="35"/>
      <c r="GEE1038" s="35"/>
      <c r="GNZ1038" s="35"/>
      <c r="GOA1038" s="35"/>
      <c r="GXV1038" s="35"/>
      <c r="GXW1038" s="35"/>
      <c r="HHR1038" s="35"/>
      <c r="HHS1038" s="35"/>
      <c r="HRN1038" s="35"/>
      <c r="HRO1038" s="35"/>
      <c r="IBJ1038" s="35"/>
      <c r="IBK1038" s="35"/>
      <c r="ILF1038" s="35"/>
      <c r="ILG1038" s="35"/>
      <c r="IVB1038" s="35"/>
      <c r="IVC1038" s="35"/>
      <c r="JEX1038" s="35"/>
      <c r="JEY1038" s="35"/>
      <c r="JOT1038" s="35"/>
      <c r="JOU1038" s="35"/>
      <c r="JYP1038" s="35"/>
      <c r="JYQ1038" s="35"/>
      <c r="KIL1038" s="35"/>
      <c r="KIM1038" s="35"/>
      <c r="KSH1038" s="35"/>
      <c r="KSI1038" s="35"/>
      <c r="LCD1038" s="35"/>
      <c r="LCE1038" s="35"/>
      <c r="LLZ1038" s="35"/>
      <c r="LMA1038" s="35"/>
      <c r="LVV1038" s="35"/>
      <c r="LVW1038" s="35"/>
      <c r="MFR1038" s="35"/>
      <c r="MFS1038" s="35"/>
      <c r="MPN1038" s="35"/>
      <c r="MPO1038" s="35"/>
      <c r="MZJ1038" s="35"/>
      <c r="MZK1038" s="35"/>
      <c r="NJF1038" s="35"/>
      <c r="NJG1038" s="35"/>
      <c r="NTB1038" s="35"/>
      <c r="NTC1038" s="35"/>
      <c r="OCX1038" s="35"/>
      <c r="OCY1038" s="35"/>
      <c r="OMT1038" s="35"/>
      <c r="OMU1038" s="35"/>
      <c r="OWP1038" s="35"/>
      <c r="OWQ1038" s="35"/>
      <c r="PGL1038" s="35"/>
      <c r="PGM1038" s="35"/>
      <c r="PQH1038" s="35"/>
      <c r="PQI1038" s="35"/>
      <c r="QAD1038" s="35"/>
      <c r="QAE1038" s="35"/>
      <c r="QJZ1038" s="35"/>
      <c r="QKA1038" s="35"/>
      <c r="QTV1038" s="35"/>
      <c r="QTW1038" s="35"/>
      <c r="RDR1038" s="35"/>
      <c r="RDS1038" s="35"/>
      <c r="RNN1038" s="35"/>
      <c r="RNO1038" s="35"/>
      <c r="RXJ1038" s="35"/>
      <c r="RXK1038" s="35"/>
      <c r="SHF1038" s="35"/>
      <c r="SHG1038" s="35"/>
      <c r="SRB1038" s="35"/>
      <c r="SRC1038" s="35"/>
      <c r="TAX1038" s="35"/>
      <c r="TAY1038" s="35"/>
      <c r="TKT1038" s="35"/>
      <c r="TKU1038" s="35"/>
      <c r="TUP1038" s="35"/>
      <c r="TUQ1038" s="35"/>
      <c r="UEL1038" s="35"/>
      <c r="UEM1038" s="35"/>
      <c r="UOH1038" s="35"/>
      <c r="UOI1038" s="35"/>
      <c r="UYD1038" s="35"/>
      <c r="UYE1038" s="35"/>
      <c r="VHZ1038" s="35"/>
      <c r="VIA1038" s="35"/>
      <c r="VRV1038" s="35"/>
      <c r="VRW1038" s="35"/>
      <c r="WBR1038" s="35"/>
      <c r="WBS1038" s="35"/>
      <c r="WLN1038" s="35"/>
      <c r="WLO1038" s="35"/>
      <c r="WVJ1038" s="35"/>
      <c r="WVK1038" s="35"/>
    </row>
    <row r="1039" spans="1:771 1026:1795 2050:2819 3074:3843 4098:4867 5122:5891 6146:6915 7170:7939 8194:8963 9218:9987 10242:11011 11266:12035 12290:13059 13314:14083 14338:15107 15362:16131" s="35" customFormat="1" ht="55.2" x14ac:dyDescent="0.3">
      <c r="A1039" s="28">
        <v>96</v>
      </c>
      <c r="B1039" s="29" t="s">
        <v>826</v>
      </c>
      <c r="C1039" s="30" t="s">
        <v>2179</v>
      </c>
      <c r="D1039" s="31" t="s">
        <v>13</v>
      </c>
      <c r="E1039" s="32">
        <v>16.2</v>
      </c>
      <c r="F1039" s="33"/>
      <c r="G1039" s="33"/>
      <c r="H1039" s="34" t="s">
        <v>823</v>
      </c>
    </row>
    <row r="1040" spans="1:771 1026:1795 2050:2819 3074:3843 4098:4867 5122:5891 6146:6915 7170:7939 8194:8963 9218:9987 10242:11011 11266:12035 12290:13059 13314:14083 14338:15107 15362:16131" s="35" customFormat="1" x14ac:dyDescent="0.3">
      <c r="A1040" s="36"/>
      <c r="B1040" s="72" t="s">
        <v>827</v>
      </c>
      <c r="C1040" s="38" t="s">
        <v>14</v>
      </c>
      <c r="D1040" s="39"/>
      <c r="E1040" s="44"/>
      <c r="F1040" s="40"/>
      <c r="G1040" s="41">
        <f>SUM(G1041)</f>
        <v>315559800</v>
      </c>
      <c r="H1040" s="42"/>
    </row>
    <row r="1041" spans="1:771 1026:1795 2050:2819 3074:3843 4098:4867 5122:5891 6146:6915 7170:7939 8194:8963 9218:9987 10242:11011 11266:12035 12290:13059 13314:14083 14338:15107 15362:16131" s="35" customFormat="1" ht="78" x14ac:dyDescent="0.3">
      <c r="A1041" s="36"/>
      <c r="B1041" s="72" t="s">
        <v>828</v>
      </c>
      <c r="C1041" s="48" t="s">
        <v>38</v>
      </c>
      <c r="D1041" s="39" t="s">
        <v>13</v>
      </c>
      <c r="E1041" s="44">
        <v>16.2</v>
      </c>
      <c r="F1041" s="161">
        <v>19479000</v>
      </c>
      <c r="G1041" s="40">
        <f>E1041*F1041</f>
        <v>315559800</v>
      </c>
      <c r="H1041" s="42"/>
    </row>
    <row r="1042" spans="1:771 1026:1795 2050:2819 3074:3843 4098:4867 5122:5891 6146:6915 7170:7939 8194:8963 9218:9987 10242:11011 11266:12035 12290:13059 13314:14083 14338:15107 15362:16131" s="35" customFormat="1" x14ac:dyDescent="0.3">
      <c r="A1042" s="36"/>
      <c r="B1042" s="72" t="s">
        <v>829</v>
      </c>
      <c r="C1042" s="47" t="s">
        <v>35</v>
      </c>
      <c r="D1042" s="39"/>
      <c r="E1042" s="73"/>
      <c r="F1042" s="40"/>
      <c r="G1042" s="41">
        <f>SUM(G1043:G1045)</f>
        <v>62648399.999999993</v>
      </c>
      <c r="H1042" s="45"/>
    </row>
    <row r="1043" spans="1:771 1026:1795 2050:2819 3074:3843 4098:4867 5122:5891 6146:6915 7170:7939 8194:8963 9218:9987 10242:11011 11266:12035 12290:13059 13314:14083 14338:15107 15362:16131" s="35" customFormat="1" ht="93.6" x14ac:dyDescent="0.3">
      <c r="A1043" s="36"/>
      <c r="B1043" s="72"/>
      <c r="C1043" s="66" t="s">
        <v>830</v>
      </c>
      <c r="D1043" s="39" t="s">
        <v>234</v>
      </c>
      <c r="E1043" s="73">
        <f>2*8.7</f>
        <v>17.399999999999999</v>
      </c>
      <c r="F1043" s="74">
        <v>3592000</v>
      </c>
      <c r="G1043" s="40">
        <f>E1043*F1043</f>
        <v>62500799.999999993</v>
      </c>
      <c r="H1043" s="45" t="s">
        <v>2454</v>
      </c>
    </row>
    <row r="1044" spans="1:771 1026:1795 2050:2819 3074:3843 4098:4867 5122:5891 6146:6915 7170:7939 8194:8963 9218:9987 10242:11011 11266:12035 12290:13059 13314:14083 14338:15107 15362:16131" s="35" customFormat="1" x14ac:dyDescent="0.3">
      <c r="A1044" s="36"/>
      <c r="B1044" s="72"/>
      <c r="C1044" s="66" t="s">
        <v>105</v>
      </c>
      <c r="D1044" s="39" t="s">
        <v>106</v>
      </c>
      <c r="E1044" s="73">
        <v>1</v>
      </c>
      <c r="F1044" s="74"/>
      <c r="G1044" s="40">
        <f>E1044*F1044</f>
        <v>0</v>
      </c>
      <c r="H1044" s="52" t="s">
        <v>2353</v>
      </c>
    </row>
    <row r="1045" spans="1:771 1026:1795 2050:2819 3074:3843 4098:4867 5122:5891 6146:6915 7170:7939 8194:8963 9218:9987 10242:11011 11266:12035 12290:13059 13314:14083 14338:15107 15362:16131" s="35" customFormat="1" x14ac:dyDescent="0.3">
      <c r="A1045" s="36"/>
      <c r="B1045" s="72"/>
      <c r="C1045" s="66" t="s">
        <v>18</v>
      </c>
      <c r="D1045" s="39" t="s">
        <v>234</v>
      </c>
      <c r="E1045" s="73">
        <f>1.2*3</f>
        <v>3.5999999999999996</v>
      </c>
      <c r="F1045" s="40">
        <v>41000</v>
      </c>
      <c r="G1045" s="40">
        <f>E1045*F1045</f>
        <v>147599.99999999997</v>
      </c>
      <c r="H1045" s="45"/>
    </row>
    <row r="1046" spans="1:771 1026:1795 2050:2819 3074:3843 4098:4867 5122:5891 6146:6915 7170:7939 8194:8963 9218:9987 10242:11011 11266:12035 12290:13059 13314:14083 14338:15107 15362:16131" s="35" customFormat="1" ht="65.400000000000006" thickBot="1" x14ac:dyDescent="0.35">
      <c r="A1046" s="53"/>
      <c r="B1046" s="54"/>
      <c r="C1046" s="55" t="s">
        <v>2331</v>
      </c>
      <c r="D1046" s="56"/>
      <c r="E1046" s="5"/>
      <c r="F1046" s="6"/>
      <c r="G1046" s="57"/>
      <c r="H1046" s="58"/>
    </row>
    <row r="1047" spans="1:771 1026:1795 2050:2819 3074:3843 4098:4867 5122:5891 6146:6915 7170:7939 8194:8963 9218:9987 10242:11011 11266:12035 12290:13059 13314:14083 14338:15107 15362:16131" s="59" customFormat="1" ht="31.8" thickBot="1" x14ac:dyDescent="0.35">
      <c r="A1047" s="154"/>
      <c r="B1047" s="155" t="s">
        <v>26</v>
      </c>
      <c r="C1047" s="156"/>
      <c r="D1047" s="154"/>
      <c r="E1047" s="157"/>
      <c r="F1047" s="158"/>
      <c r="G1047" s="159">
        <f>SUM(G1039:G1046)/2</f>
        <v>378208200</v>
      </c>
      <c r="H1047" s="160"/>
      <c r="IX1047" s="35"/>
      <c r="IY1047" s="35"/>
      <c r="ST1047" s="35"/>
      <c r="SU1047" s="35"/>
      <c r="ACP1047" s="35"/>
      <c r="ACQ1047" s="35"/>
      <c r="AML1047" s="35"/>
      <c r="AMM1047" s="35"/>
      <c r="AWH1047" s="35"/>
      <c r="AWI1047" s="35"/>
      <c r="BGD1047" s="35"/>
      <c r="BGE1047" s="35"/>
      <c r="BPZ1047" s="35"/>
      <c r="BQA1047" s="35"/>
      <c r="BZV1047" s="35"/>
      <c r="BZW1047" s="35"/>
      <c r="CJR1047" s="35"/>
      <c r="CJS1047" s="35"/>
      <c r="CTN1047" s="35"/>
      <c r="CTO1047" s="35"/>
      <c r="DDJ1047" s="35"/>
      <c r="DDK1047" s="35"/>
      <c r="DNF1047" s="35"/>
      <c r="DNG1047" s="35"/>
      <c r="DXB1047" s="35"/>
      <c r="DXC1047" s="35"/>
      <c r="EGX1047" s="35"/>
      <c r="EGY1047" s="35"/>
      <c r="EQT1047" s="35"/>
      <c r="EQU1047" s="35"/>
      <c r="FAP1047" s="35"/>
      <c r="FAQ1047" s="35"/>
      <c r="FKL1047" s="35"/>
      <c r="FKM1047" s="35"/>
      <c r="FUH1047" s="35"/>
      <c r="FUI1047" s="35"/>
      <c r="GED1047" s="35"/>
      <c r="GEE1047" s="35"/>
      <c r="GNZ1047" s="35"/>
      <c r="GOA1047" s="35"/>
      <c r="GXV1047" s="35"/>
      <c r="GXW1047" s="35"/>
      <c r="HHR1047" s="35"/>
      <c r="HHS1047" s="35"/>
      <c r="HRN1047" s="35"/>
      <c r="HRO1047" s="35"/>
      <c r="IBJ1047" s="35"/>
      <c r="IBK1047" s="35"/>
      <c r="ILF1047" s="35"/>
      <c r="ILG1047" s="35"/>
      <c r="IVB1047" s="35"/>
      <c r="IVC1047" s="35"/>
      <c r="JEX1047" s="35"/>
      <c r="JEY1047" s="35"/>
      <c r="JOT1047" s="35"/>
      <c r="JOU1047" s="35"/>
      <c r="JYP1047" s="35"/>
      <c r="JYQ1047" s="35"/>
      <c r="KIL1047" s="35"/>
      <c r="KIM1047" s="35"/>
      <c r="KSH1047" s="35"/>
      <c r="KSI1047" s="35"/>
      <c r="LCD1047" s="35"/>
      <c r="LCE1047" s="35"/>
      <c r="LLZ1047" s="35"/>
      <c r="LMA1047" s="35"/>
      <c r="LVV1047" s="35"/>
      <c r="LVW1047" s="35"/>
      <c r="MFR1047" s="35"/>
      <c r="MFS1047" s="35"/>
      <c r="MPN1047" s="35"/>
      <c r="MPO1047" s="35"/>
      <c r="MZJ1047" s="35"/>
      <c r="MZK1047" s="35"/>
      <c r="NJF1047" s="35"/>
      <c r="NJG1047" s="35"/>
      <c r="NTB1047" s="35"/>
      <c r="NTC1047" s="35"/>
      <c r="OCX1047" s="35"/>
      <c r="OCY1047" s="35"/>
      <c r="OMT1047" s="35"/>
      <c r="OMU1047" s="35"/>
      <c r="OWP1047" s="35"/>
      <c r="OWQ1047" s="35"/>
      <c r="PGL1047" s="35"/>
      <c r="PGM1047" s="35"/>
      <c r="PQH1047" s="35"/>
      <c r="PQI1047" s="35"/>
      <c r="QAD1047" s="35"/>
      <c r="QAE1047" s="35"/>
      <c r="QJZ1047" s="35"/>
      <c r="QKA1047" s="35"/>
      <c r="QTV1047" s="35"/>
      <c r="QTW1047" s="35"/>
      <c r="RDR1047" s="35"/>
      <c r="RDS1047" s="35"/>
      <c r="RNN1047" s="35"/>
      <c r="RNO1047" s="35"/>
      <c r="RXJ1047" s="35"/>
      <c r="RXK1047" s="35"/>
      <c r="SHF1047" s="35"/>
      <c r="SHG1047" s="35"/>
      <c r="SRB1047" s="35"/>
      <c r="SRC1047" s="35"/>
      <c r="TAX1047" s="35"/>
      <c r="TAY1047" s="35"/>
      <c r="TKT1047" s="35"/>
      <c r="TKU1047" s="35"/>
      <c r="TUP1047" s="35"/>
      <c r="TUQ1047" s="35"/>
      <c r="UEL1047" s="35"/>
      <c r="UEM1047" s="35"/>
      <c r="UOH1047" s="35"/>
      <c r="UOI1047" s="35"/>
      <c r="UYD1047" s="35"/>
      <c r="UYE1047" s="35"/>
      <c r="VHZ1047" s="35"/>
      <c r="VIA1047" s="35"/>
      <c r="VRV1047" s="35"/>
      <c r="VRW1047" s="35"/>
      <c r="WBR1047" s="35"/>
      <c r="WBS1047" s="35"/>
      <c r="WLN1047" s="35"/>
      <c r="WLO1047" s="35"/>
      <c r="WVJ1047" s="35"/>
      <c r="WVK1047" s="35"/>
    </row>
    <row r="1048" spans="1:771 1026:1795 2050:2819 3074:3843 4098:4867 5122:5891 6146:6915 7170:7939 8194:8963 9218:9987 10242:11011 11266:12035 12290:13059 13314:14083 14338:15107 15362:16131" s="35" customFormat="1" ht="41.4" x14ac:dyDescent="0.3">
      <c r="A1048" s="28">
        <v>97</v>
      </c>
      <c r="B1048" s="29" t="s">
        <v>831</v>
      </c>
      <c r="C1048" s="30" t="s">
        <v>2178</v>
      </c>
      <c r="D1048" s="31" t="s">
        <v>13</v>
      </c>
      <c r="E1048" s="32">
        <v>10.199999999999999</v>
      </c>
      <c r="F1048" s="33"/>
      <c r="G1048" s="33"/>
      <c r="H1048" s="34" t="s">
        <v>64</v>
      </c>
    </row>
    <row r="1049" spans="1:771 1026:1795 2050:2819 3074:3843 4098:4867 5122:5891 6146:6915 7170:7939 8194:8963 9218:9987 10242:11011 11266:12035 12290:13059 13314:14083 14338:15107 15362:16131" s="35" customFormat="1" x14ac:dyDescent="0.3">
      <c r="A1049" s="36"/>
      <c r="B1049" s="72" t="s">
        <v>832</v>
      </c>
      <c r="C1049" s="38" t="s">
        <v>14</v>
      </c>
      <c r="D1049" s="39"/>
      <c r="E1049" s="44"/>
      <c r="F1049" s="40"/>
      <c r="G1049" s="41">
        <f>SUM(G1050:G1052)</f>
        <v>418798500</v>
      </c>
      <c r="H1049" s="42"/>
    </row>
    <row r="1050" spans="1:771 1026:1795 2050:2819 3074:3843 4098:4867 5122:5891 6146:6915 7170:7939 8194:8963 9218:9987 10242:11011 11266:12035 12290:13059 13314:14083 14338:15107 15362:16131" s="35" customFormat="1" ht="78" x14ac:dyDescent="0.3">
      <c r="A1050" s="36"/>
      <c r="B1050" s="72" t="s">
        <v>833</v>
      </c>
      <c r="C1050" s="48" t="s">
        <v>38</v>
      </c>
      <c r="D1050" s="39" t="s">
        <v>13</v>
      </c>
      <c r="E1050" s="73">
        <v>10.199999999999999</v>
      </c>
      <c r="F1050" s="161">
        <v>19479000</v>
      </c>
      <c r="G1050" s="40">
        <f>E1050*F1050</f>
        <v>198685800</v>
      </c>
      <c r="H1050" s="42"/>
    </row>
    <row r="1051" spans="1:771 1026:1795 2050:2819 3074:3843 4098:4867 5122:5891 6146:6915 7170:7939 8194:8963 9218:9987 10242:11011 11266:12035 12290:13059 13314:14083 14338:15107 15362:16131" s="35" customFormat="1" ht="41.4" x14ac:dyDescent="0.3">
      <c r="A1051" s="36"/>
      <c r="B1051" s="70"/>
      <c r="C1051" s="48" t="s">
        <v>2244</v>
      </c>
      <c r="D1051" s="39" t="s">
        <v>13</v>
      </c>
      <c r="E1051" s="44">
        <v>11.3</v>
      </c>
      <c r="F1051" s="40"/>
      <c r="G1051" s="40">
        <f>E1051*F1051</f>
        <v>0</v>
      </c>
      <c r="H1051" s="42" t="s">
        <v>64</v>
      </c>
    </row>
    <row r="1052" spans="1:771 1026:1795 2050:2819 3074:3843 4098:4867 5122:5891 6146:6915 7170:7939 8194:8963 9218:9987 10242:11011 11266:12035 12290:13059 13314:14083 14338:15107 15362:16131" s="35" customFormat="1" ht="18.600000000000001" x14ac:dyDescent="0.3">
      <c r="A1052" s="36"/>
      <c r="B1052" s="72"/>
      <c r="C1052" s="48" t="s">
        <v>38</v>
      </c>
      <c r="D1052" s="39" t="s">
        <v>13</v>
      </c>
      <c r="E1052" s="44">
        <v>11.3</v>
      </c>
      <c r="F1052" s="161">
        <v>19479000</v>
      </c>
      <c r="G1052" s="40">
        <f>E1052*F1052</f>
        <v>220112700</v>
      </c>
      <c r="H1052" s="42"/>
    </row>
    <row r="1053" spans="1:771 1026:1795 2050:2819 3074:3843 4098:4867 5122:5891 6146:6915 7170:7939 8194:8963 9218:9987 10242:11011 11266:12035 12290:13059 13314:14083 14338:15107 15362:16131" s="35" customFormat="1" x14ac:dyDescent="0.3">
      <c r="A1053" s="36"/>
      <c r="B1053" s="38"/>
      <c r="C1053" s="47" t="s">
        <v>35</v>
      </c>
      <c r="D1053" s="39"/>
      <c r="E1053" s="73"/>
      <c r="F1053" s="40"/>
      <c r="G1053" s="41">
        <f>SUM(G1054:G1061)</f>
        <v>13572904</v>
      </c>
      <c r="H1053" s="45"/>
    </row>
    <row r="1054" spans="1:771 1026:1795 2050:2819 3074:3843 4098:4867 5122:5891 6146:6915 7170:7939 8194:8963 9218:9987 10242:11011 11266:12035 12290:13059 13314:14083 14338:15107 15362:16131" s="35" customFormat="1" ht="62.4" x14ac:dyDescent="0.3">
      <c r="A1054" s="36"/>
      <c r="B1054" s="72" t="s">
        <v>834</v>
      </c>
      <c r="C1054" s="66" t="s">
        <v>835</v>
      </c>
      <c r="D1054" s="39" t="s">
        <v>234</v>
      </c>
      <c r="E1054" s="73">
        <f>2*4.5</f>
        <v>9</v>
      </c>
      <c r="F1054" s="74">
        <v>540000</v>
      </c>
      <c r="G1054" s="40">
        <f t="shared" ref="G1054:G1061" si="17">E1054*F1054</f>
        <v>4860000</v>
      </c>
      <c r="H1054" s="45" t="s">
        <v>2455</v>
      </c>
    </row>
    <row r="1055" spans="1:771 1026:1795 2050:2819 3074:3843 4098:4867 5122:5891 6146:6915 7170:7939 8194:8963 9218:9987 10242:11011 11266:12035 12290:13059 13314:14083 14338:15107 15362:16131" s="35" customFormat="1" x14ac:dyDescent="0.3">
      <c r="A1055" s="36"/>
      <c r="B1055" s="72"/>
      <c r="C1055" s="66" t="s">
        <v>836</v>
      </c>
      <c r="D1055" s="39" t="s">
        <v>231</v>
      </c>
      <c r="E1055" s="73">
        <f>2*1.5*0.4</f>
        <v>1.2000000000000002</v>
      </c>
      <c r="F1055" s="74">
        <v>1786000</v>
      </c>
      <c r="G1055" s="40">
        <f t="shared" si="17"/>
        <v>2143200.0000000005</v>
      </c>
      <c r="H1055" s="45"/>
    </row>
    <row r="1056" spans="1:771 1026:1795 2050:2819 3074:3843 4098:4867 5122:5891 6146:6915 7170:7939 8194:8963 9218:9987 10242:11011 11266:12035 12290:13059 13314:14083 14338:15107 15362:16131" s="35" customFormat="1" x14ac:dyDescent="0.3">
      <c r="A1056" s="36"/>
      <c r="B1056" s="72"/>
      <c r="C1056" s="66" t="s">
        <v>115</v>
      </c>
      <c r="D1056" s="39" t="s">
        <v>234</v>
      </c>
      <c r="E1056" s="73">
        <f>2.1*2</f>
        <v>4.2</v>
      </c>
      <c r="F1056" s="40">
        <v>100000</v>
      </c>
      <c r="G1056" s="40">
        <f t="shared" si="17"/>
        <v>420000</v>
      </c>
      <c r="H1056" s="45"/>
    </row>
    <row r="1057" spans="1:771 1026:1795 2050:2819 3074:3843 4098:4867 5122:5891 6146:6915 7170:7939 8194:8963 9218:9987 10242:11011 11266:12035 12290:13059 13314:14083 14338:15107 15362:16131" s="35" customFormat="1" x14ac:dyDescent="0.3">
      <c r="A1057" s="36"/>
      <c r="B1057" s="72"/>
      <c r="C1057" s="66" t="s">
        <v>837</v>
      </c>
      <c r="D1057" s="39" t="s">
        <v>106</v>
      </c>
      <c r="E1057" s="73">
        <v>2</v>
      </c>
      <c r="F1057" s="74"/>
      <c r="G1057" s="40">
        <f t="shared" si="17"/>
        <v>0</v>
      </c>
      <c r="H1057" s="45"/>
    </row>
    <row r="1058" spans="1:771 1026:1795 2050:2819 3074:3843 4098:4867 5122:5891 6146:6915 7170:7939 8194:8963 9218:9987 10242:11011 11266:12035 12290:13059 13314:14083 14338:15107 15362:16131" s="35" customFormat="1" x14ac:dyDescent="0.3">
      <c r="A1058" s="36"/>
      <c r="B1058" s="72"/>
      <c r="C1058" s="66" t="s">
        <v>838</v>
      </c>
      <c r="D1058" s="39" t="s">
        <v>19</v>
      </c>
      <c r="E1058" s="73">
        <v>15</v>
      </c>
      <c r="F1058" s="74">
        <f>33000/4</f>
        <v>8250</v>
      </c>
      <c r="G1058" s="40">
        <f t="shared" si="17"/>
        <v>123750</v>
      </c>
      <c r="H1058" s="45"/>
    </row>
    <row r="1059" spans="1:771 1026:1795 2050:2819 3074:3843 4098:4867 5122:5891 6146:6915 7170:7939 8194:8963 9218:9987 10242:11011 11266:12035 12290:13059 13314:14083 14338:15107 15362:16131" s="35" customFormat="1" x14ac:dyDescent="0.3">
      <c r="A1059" s="36"/>
      <c r="B1059" s="72"/>
      <c r="C1059" s="66" t="s">
        <v>839</v>
      </c>
      <c r="D1059" s="39" t="s">
        <v>19</v>
      </c>
      <c r="E1059" s="73">
        <v>5</v>
      </c>
      <c r="F1059" s="74">
        <f>42000/4</f>
        <v>10500</v>
      </c>
      <c r="G1059" s="40">
        <f t="shared" si="17"/>
        <v>52500</v>
      </c>
      <c r="H1059" s="45"/>
    </row>
    <row r="1060" spans="1:771 1026:1795 2050:2819 3074:3843 4098:4867 5122:5891 6146:6915 7170:7939 8194:8963 9218:9987 10242:11011 11266:12035 12290:13059 13314:14083 14338:15107 15362:16131" s="35" customFormat="1" ht="93.6" x14ac:dyDescent="0.3">
      <c r="A1060" s="36"/>
      <c r="B1060" s="38"/>
      <c r="C1060" s="66" t="s">
        <v>1401</v>
      </c>
      <c r="D1060" s="39" t="s">
        <v>13</v>
      </c>
      <c r="E1060" s="73">
        <f>((0.2*1.7)*4.85)/2</f>
        <v>0.82450000000000001</v>
      </c>
      <c r="F1060" s="40">
        <v>3592000</v>
      </c>
      <c r="G1060" s="40">
        <f t="shared" si="17"/>
        <v>2961604</v>
      </c>
      <c r="H1060" s="45" t="s">
        <v>2456</v>
      </c>
    </row>
    <row r="1061" spans="1:771 1026:1795 2050:2819 3074:3843 4098:4867 5122:5891 6146:6915 7170:7939 8194:8963 9218:9987 10242:11011 11266:12035 12290:13059 13314:14083 14338:15107 15362:16131" s="35" customFormat="1" ht="62.4" x14ac:dyDescent="0.3">
      <c r="A1061" s="36"/>
      <c r="B1061" s="72"/>
      <c r="C1061" s="66" t="s">
        <v>835</v>
      </c>
      <c r="D1061" s="39" t="s">
        <v>234</v>
      </c>
      <c r="E1061" s="73">
        <f>((0.4+1.9)*4.85)/2</f>
        <v>5.5774999999999988</v>
      </c>
      <c r="F1061" s="74">
        <v>540000</v>
      </c>
      <c r="G1061" s="40">
        <f t="shared" si="17"/>
        <v>3011849.9999999995</v>
      </c>
      <c r="H1061" s="45" t="s">
        <v>2375</v>
      </c>
    </row>
    <row r="1062" spans="1:771 1026:1795 2050:2819 3074:3843 4098:4867 5122:5891 6146:6915 7170:7939 8194:8963 9218:9987 10242:11011 11266:12035 12290:13059 13314:14083 14338:15107 15362:16131" s="35" customFormat="1" ht="65.400000000000006" thickBot="1" x14ac:dyDescent="0.35">
      <c r="A1062" s="53"/>
      <c r="B1062" s="54"/>
      <c r="C1062" s="55" t="s">
        <v>2331</v>
      </c>
      <c r="D1062" s="56"/>
      <c r="E1062" s="5"/>
      <c r="F1062" s="6"/>
      <c r="G1062" s="57"/>
      <c r="H1062" s="58"/>
    </row>
    <row r="1063" spans="1:771 1026:1795 2050:2819 3074:3843 4098:4867 5122:5891 6146:6915 7170:7939 8194:8963 9218:9987 10242:11011 11266:12035 12290:13059 13314:14083 14338:15107 15362:16131" s="59" customFormat="1" ht="31.8" thickBot="1" x14ac:dyDescent="0.35">
      <c r="A1063" s="154"/>
      <c r="B1063" s="155" t="s">
        <v>26</v>
      </c>
      <c r="C1063" s="156"/>
      <c r="D1063" s="154"/>
      <c r="E1063" s="157"/>
      <c r="F1063" s="158"/>
      <c r="G1063" s="159">
        <f>SUM(G1048:G1062)/2</f>
        <v>432371404</v>
      </c>
      <c r="H1063" s="160"/>
      <c r="IX1063" s="35"/>
      <c r="IY1063" s="35"/>
      <c r="ST1063" s="35"/>
      <c r="SU1063" s="35"/>
      <c r="ACP1063" s="35"/>
      <c r="ACQ1063" s="35"/>
      <c r="AML1063" s="35"/>
      <c r="AMM1063" s="35"/>
      <c r="AWH1063" s="35"/>
      <c r="AWI1063" s="35"/>
      <c r="BGD1063" s="35"/>
      <c r="BGE1063" s="35"/>
      <c r="BPZ1063" s="35"/>
      <c r="BQA1063" s="35"/>
      <c r="BZV1063" s="35"/>
      <c r="BZW1063" s="35"/>
      <c r="CJR1063" s="35"/>
      <c r="CJS1063" s="35"/>
      <c r="CTN1063" s="35"/>
      <c r="CTO1063" s="35"/>
      <c r="DDJ1063" s="35"/>
      <c r="DDK1063" s="35"/>
      <c r="DNF1063" s="35"/>
      <c r="DNG1063" s="35"/>
      <c r="DXB1063" s="35"/>
      <c r="DXC1063" s="35"/>
      <c r="EGX1063" s="35"/>
      <c r="EGY1063" s="35"/>
      <c r="EQT1063" s="35"/>
      <c r="EQU1063" s="35"/>
      <c r="FAP1063" s="35"/>
      <c r="FAQ1063" s="35"/>
      <c r="FKL1063" s="35"/>
      <c r="FKM1063" s="35"/>
      <c r="FUH1063" s="35"/>
      <c r="FUI1063" s="35"/>
      <c r="GED1063" s="35"/>
      <c r="GEE1063" s="35"/>
      <c r="GNZ1063" s="35"/>
      <c r="GOA1063" s="35"/>
      <c r="GXV1063" s="35"/>
      <c r="GXW1063" s="35"/>
      <c r="HHR1063" s="35"/>
      <c r="HHS1063" s="35"/>
      <c r="HRN1063" s="35"/>
      <c r="HRO1063" s="35"/>
      <c r="IBJ1063" s="35"/>
      <c r="IBK1063" s="35"/>
      <c r="ILF1063" s="35"/>
      <c r="ILG1063" s="35"/>
      <c r="IVB1063" s="35"/>
      <c r="IVC1063" s="35"/>
      <c r="JEX1063" s="35"/>
      <c r="JEY1063" s="35"/>
      <c r="JOT1063" s="35"/>
      <c r="JOU1063" s="35"/>
      <c r="JYP1063" s="35"/>
      <c r="JYQ1063" s="35"/>
      <c r="KIL1063" s="35"/>
      <c r="KIM1063" s="35"/>
      <c r="KSH1063" s="35"/>
      <c r="KSI1063" s="35"/>
      <c r="LCD1063" s="35"/>
      <c r="LCE1063" s="35"/>
      <c r="LLZ1063" s="35"/>
      <c r="LMA1063" s="35"/>
      <c r="LVV1063" s="35"/>
      <c r="LVW1063" s="35"/>
      <c r="MFR1063" s="35"/>
      <c r="MFS1063" s="35"/>
      <c r="MPN1063" s="35"/>
      <c r="MPO1063" s="35"/>
      <c r="MZJ1063" s="35"/>
      <c r="MZK1063" s="35"/>
      <c r="NJF1063" s="35"/>
      <c r="NJG1063" s="35"/>
      <c r="NTB1063" s="35"/>
      <c r="NTC1063" s="35"/>
      <c r="OCX1063" s="35"/>
      <c r="OCY1063" s="35"/>
      <c r="OMT1063" s="35"/>
      <c r="OMU1063" s="35"/>
      <c r="OWP1063" s="35"/>
      <c r="OWQ1063" s="35"/>
      <c r="PGL1063" s="35"/>
      <c r="PGM1063" s="35"/>
      <c r="PQH1063" s="35"/>
      <c r="PQI1063" s="35"/>
      <c r="QAD1063" s="35"/>
      <c r="QAE1063" s="35"/>
      <c r="QJZ1063" s="35"/>
      <c r="QKA1063" s="35"/>
      <c r="QTV1063" s="35"/>
      <c r="QTW1063" s="35"/>
      <c r="RDR1063" s="35"/>
      <c r="RDS1063" s="35"/>
      <c r="RNN1063" s="35"/>
      <c r="RNO1063" s="35"/>
      <c r="RXJ1063" s="35"/>
      <c r="RXK1063" s="35"/>
      <c r="SHF1063" s="35"/>
      <c r="SHG1063" s="35"/>
      <c r="SRB1063" s="35"/>
      <c r="SRC1063" s="35"/>
      <c r="TAX1063" s="35"/>
      <c r="TAY1063" s="35"/>
      <c r="TKT1063" s="35"/>
      <c r="TKU1063" s="35"/>
      <c r="TUP1063" s="35"/>
      <c r="TUQ1063" s="35"/>
      <c r="UEL1063" s="35"/>
      <c r="UEM1063" s="35"/>
      <c r="UOH1063" s="35"/>
      <c r="UOI1063" s="35"/>
      <c r="UYD1063" s="35"/>
      <c r="UYE1063" s="35"/>
      <c r="VHZ1063" s="35"/>
      <c r="VIA1063" s="35"/>
      <c r="VRV1063" s="35"/>
      <c r="VRW1063" s="35"/>
      <c r="WBR1063" s="35"/>
      <c r="WBS1063" s="35"/>
      <c r="WLN1063" s="35"/>
      <c r="WLO1063" s="35"/>
      <c r="WVJ1063" s="35"/>
      <c r="WVK1063" s="35"/>
    </row>
    <row r="1064" spans="1:771 1026:1795 2050:2819 3074:3843 4098:4867 5122:5891 6146:6915 7170:7939 8194:8963 9218:9987 10242:11011 11266:12035 12290:13059 13314:14083 14338:15107 15362:16131" s="35" customFormat="1" ht="55.2" x14ac:dyDescent="0.3">
      <c r="A1064" s="28">
        <v>98</v>
      </c>
      <c r="B1064" s="29" t="s">
        <v>840</v>
      </c>
      <c r="C1064" s="30" t="s">
        <v>845</v>
      </c>
      <c r="D1064" s="31" t="s">
        <v>13</v>
      </c>
      <c r="E1064" s="32">
        <v>10</v>
      </c>
      <c r="F1064" s="33"/>
      <c r="G1064" s="33"/>
      <c r="H1064" s="34" t="s">
        <v>844</v>
      </c>
    </row>
    <row r="1065" spans="1:771 1026:1795 2050:2819 3074:3843 4098:4867 5122:5891 6146:6915 7170:7939 8194:8963 9218:9987 10242:11011 11266:12035 12290:13059 13314:14083 14338:15107 15362:16131" s="35" customFormat="1" x14ac:dyDescent="0.3">
      <c r="A1065" s="36"/>
      <c r="B1065" s="72" t="s">
        <v>841</v>
      </c>
      <c r="C1065" s="38" t="s">
        <v>14</v>
      </c>
      <c r="D1065" s="39"/>
      <c r="E1065" s="44"/>
      <c r="F1065" s="40"/>
      <c r="G1065" s="41">
        <f>SUM(G1066)</f>
        <v>194790000</v>
      </c>
      <c r="H1065" s="42"/>
    </row>
    <row r="1066" spans="1:771 1026:1795 2050:2819 3074:3843 4098:4867 5122:5891 6146:6915 7170:7939 8194:8963 9218:9987 10242:11011 11266:12035 12290:13059 13314:14083 14338:15107 15362:16131" s="35" customFormat="1" ht="78" x14ac:dyDescent="0.3">
      <c r="A1066" s="36"/>
      <c r="B1066" s="72" t="s">
        <v>842</v>
      </c>
      <c r="C1066" s="48" t="s">
        <v>38</v>
      </c>
      <c r="D1066" s="39" t="s">
        <v>13</v>
      </c>
      <c r="E1066" s="44">
        <v>10</v>
      </c>
      <c r="F1066" s="161">
        <v>19479000</v>
      </c>
      <c r="G1066" s="40">
        <f>E1066*F1066</f>
        <v>194790000</v>
      </c>
      <c r="H1066" s="42"/>
    </row>
    <row r="1067" spans="1:771 1026:1795 2050:2819 3074:3843 4098:4867 5122:5891 6146:6915 7170:7939 8194:8963 9218:9987 10242:11011 11266:12035 12290:13059 13314:14083 14338:15107 15362:16131" s="35" customFormat="1" x14ac:dyDescent="0.3">
      <c r="A1067" s="36"/>
      <c r="B1067" s="72" t="s">
        <v>843</v>
      </c>
      <c r="C1067" s="47" t="s">
        <v>35</v>
      </c>
      <c r="D1067" s="39"/>
      <c r="E1067" s="73"/>
      <c r="F1067" s="40"/>
      <c r="G1067" s="41">
        <f>SUM(G1068)</f>
        <v>2073600</v>
      </c>
      <c r="H1067" s="45"/>
    </row>
    <row r="1068" spans="1:771 1026:1795 2050:2819 3074:3843 4098:4867 5122:5891 6146:6915 7170:7939 8194:8963 9218:9987 10242:11011 11266:12035 12290:13059 13314:14083 14338:15107 15362:16131" s="35" customFormat="1" ht="46.8" x14ac:dyDescent="0.3">
      <c r="A1068" s="36"/>
      <c r="B1068" s="72"/>
      <c r="C1068" s="66" t="s">
        <v>846</v>
      </c>
      <c r="D1068" s="39" t="s">
        <v>234</v>
      </c>
      <c r="E1068" s="73">
        <f>2*4.8</f>
        <v>9.6</v>
      </c>
      <c r="F1068" s="74">
        <f>540000*40%</f>
        <v>216000</v>
      </c>
      <c r="G1068" s="40">
        <f>E1068*F1068</f>
        <v>2073600</v>
      </c>
      <c r="H1068" s="45" t="s">
        <v>2457</v>
      </c>
    </row>
    <row r="1069" spans="1:771 1026:1795 2050:2819 3074:3843 4098:4867 5122:5891 6146:6915 7170:7939 8194:8963 9218:9987 10242:11011 11266:12035 12290:13059 13314:14083 14338:15107 15362:16131" s="35" customFormat="1" ht="65.400000000000006" thickBot="1" x14ac:dyDescent="0.35">
      <c r="A1069" s="53"/>
      <c r="B1069" s="54"/>
      <c r="C1069" s="55" t="s">
        <v>2331</v>
      </c>
      <c r="D1069" s="56"/>
      <c r="E1069" s="5"/>
      <c r="F1069" s="6"/>
      <c r="G1069" s="57"/>
      <c r="H1069" s="58"/>
    </row>
    <row r="1070" spans="1:771 1026:1795 2050:2819 3074:3843 4098:4867 5122:5891 6146:6915 7170:7939 8194:8963 9218:9987 10242:11011 11266:12035 12290:13059 13314:14083 14338:15107 15362:16131" s="59" customFormat="1" ht="31.8" thickBot="1" x14ac:dyDescent="0.35">
      <c r="A1070" s="154"/>
      <c r="B1070" s="155" t="s">
        <v>26</v>
      </c>
      <c r="C1070" s="156"/>
      <c r="D1070" s="154"/>
      <c r="E1070" s="157"/>
      <c r="F1070" s="158"/>
      <c r="G1070" s="159">
        <f>SUM(G1064:G1069)/2</f>
        <v>196863600</v>
      </c>
      <c r="H1070" s="160"/>
      <c r="IX1070" s="35"/>
      <c r="IY1070" s="35"/>
      <c r="ST1070" s="35"/>
      <c r="SU1070" s="35"/>
      <c r="ACP1070" s="35"/>
      <c r="ACQ1070" s="35"/>
      <c r="AML1070" s="35"/>
      <c r="AMM1070" s="35"/>
      <c r="AWH1070" s="35"/>
      <c r="AWI1070" s="35"/>
      <c r="BGD1070" s="35"/>
      <c r="BGE1070" s="35"/>
      <c r="BPZ1070" s="35"/>
      <c r="BQA1070" s="35"/>
      <c r="BZV1070" s="35"/>
      <c r="BZW1070" s="35"/>
      <c r="CJR1070" s="35"/>
      <c r="CJS1070" s="35"/>
      <c r="CTN1070" s="35"/>
      <c r="CTO1070" s="35"/>
      <c r="DDJ1070" s="35"/>
      <c r="DDK1070" s="35"/>
      <c r="DNF1070" s="35"/>
      <c r="DNG1070" s="35"/>
      <c r="DXB1070" s="35"/>
      <c r="DXC1070" s="35"/>
      <c r="EGX1070" s="35"/>
      <c r="EGY1070" s="35"/>
      <c r="EQT1070" s="35"/>
      <c r="EQU1070" s="35"/>
      <c r="FAP1070" s="35"/>
      <c r="FAQ1070" s="35"/>
      <c r="FKL1070" s="35"/>
      <c r="FKM1070" s="35"/>
      <c r="FUH1070" s="35"/>
      <c r="FUI1070" s="35"/>
      <c r="GED1070" s="35"/>
      <c r="GEE1070" s="35"/>
      <c r="GNZ1070" s="35"/>
      <c r="GOA1070" s="35"/>
      <c r="GXV1070" s="35"/>
      <c r="GXW1070" s="35"/>
      <c r="HHR1070" s="35"/>
      <c r="HHS1070" s="35"/>
      <c r="HRN1070" s="35"/>
      <c r="HRO1070" s="35"/>
      <c r="IBJ1070" s="35"/>
      <c r="IBK1070" s="35"/>
      <c r="ILF1070" s="35"/>
      <c r="ILG1070" s="35"/>
      <c r="IVB1070" s="35"/>
      <c r="IVC1070" s="35"/>
      <c r="JEX1070" s="35"/>
      <c r="JEY1070" s="35"/>
      <c r="JOT1070" s="35"/>
      <c r="JOU1070" s="35"/>
      <c r="JYP1070" s="35"/>
      <c r="JYQ1070" s="35"/>
      <c r="KIL1070" s="35"/>
      <c r="KIM1070" s="35"/>
      <c r="KSH1070" s="35"/>
      <c r="KSI1070" s="35"/>
      <c r="LCD1070" s="35"/>
      <c r="LCE1070" s="35"/>
      <c r="LLZ1070" s="35"/>
      <c r="LMA1070" s="35"/>
      <c r="LVV1070" s="35"/>
      <c r="LVW1070" s="35"/>
      <c r="MFR1070" s="35"/>
      <c r="MFS1070" s="35"/>
      <c r="MPN1070" s="35"/>
      <c r="MPO1070" s="35"/>
      <c r="MZJ1070" s="35"/>
      <c r="MZK1070" s="35"/>
      <c r="NJF1070" s="35"/>
      <c r="NJG1070" s="35"/>
      <c r="NTB1070" s="35"/>
      <c r="NTC1070" s="35"/>
      <c r="OCX1070" s="35"/>
      <c r="OCY1070" s="35"/>
      <c r="OMT1070" s="35"/>
      <c r="OMU1070" s="35"/>
      <c r="OWP1070" s="35"/>
      <c r="OWQ1070" s="35"/>
      <c r="PGL1070" s="35"/>
      <c r="PGM1070" s="35"/>
      <c r="PQH1070" s="35"/>
      <c r="PQI1070" s="35"/>
      <c r="QAD1070" s="35"/>
      <c r="QAE1070" s="35"/>
      <c r="QJZ1070" s="35"/>
      <c r="QKA1070" s="35"/>
      <c r="QTV1070" s="35"/>
      <c r="QTW1070" s="35"/>
      <c r="RDR1070" s="35"/>
      <c r="RDS1070" s="35"/>
      <c r="RNN1070" s="35"/>
      <c r="RNO1070" s="35"/>
      <c r="RXJ1070" s="35"/>
      <c r="RXK1070" s="35"/>
      <c r="SHF1070" s="35"/>
      <c r="SHG1070" s="35"/>
      <c r="SRB1070" s="35"/>
      <c r="SRC1070" s="35"/>
      <c r="TAX1070" s="35"/>
      <c r="TAY1070" s="35"/>
      <c r="TKT1070" s="35"/>
      <c r="TKU1070" s="35"/>
      <c r="TUP1070" s="35"/>
      <c r="TUQ1070" s="35"/>
      <c r="UEL1070" s="35"/>
      <c r="UEM1070" s="35"/>
      <c r="UOH1070" s="35"/>
      <c r="UOI1070" s="35"/>
      <c r="UYD1070" s="35"/>
      <c r="UYE1070" s="35"/>
      <c r="VHZ1070" s="35"/>
      <c r="VIA1070" s="35"/>
      <c r="VRV1070" s="35"/>
      <c r="VRW1070" s="35"/>
      <c r="WBR1070" s="35"/>
      <c r="WBS1070" s="35"/>
      <c r="WLN1070" s="35"/>
      <c r="WLO1070" s="35"/>
      <c r="WVJ1070" s="35"/>
      <c r="WVK1070" s="35"/>
    </row>
    <row r="1071" spans="1:771 1026:1795 2050:2819 3074:3843 4098:4867 5122:5891 6146:6915 7170:7939 8194:8963 9218:9987 10242:11011 11266:12035 12290:13059 13314:14083 14338:15107 15362:16131" s="35" customFormat="1" ht="55.2" x14ac:dyDescent="0.3">
      <c r="A1071" s="28">
        <v>99</v>
      </c>
      <c r="B1071" s="29" t="s">
        <v>847</v>
      </c>
      <c r="C1071" s="30" t="s">
        <v>851</v>
      </c>
      <c r="D1071" s="31" t="s">
        <v>13</v>
      </c>
      <c r="E1071" s="32">
        <v>10.3</v>
      </c>
      <c r="F1071" s="33"/>
      <c r="G1071" s="33"/>
      <c r="H1071" s="34" t="s">
        <v>852</v>
      </c>
    </row>
    <row r="1072" spans="1:771 1026:1795 2050:2819 3074:3843 4098:4867 5122:5891 6146:6915 7170:7939 8194:8963 9218:9987 10242:11011 11266:12035 12290:13059 13314:14083 14338:15107 15362:16131" s="35" customFormat="1" x14ac:dyDescent="0.3">
      <c r="A1072" s="36"/>
      <c r="B1072" s="72" t="s">
        <v>848</v>
      </c>
      <c r="C1072" s="38" t="s">
        <v>14</v>
      </c>
      <c r="D1072" s="39"/>
      <c r="E1072" s="44"/>
      <c r="F1072" s="40"/>
      <c r="G1072" s="41">
        <f>SUM(G1073)</f>
        <v>107161200</v>
      </c>
      <c r="H1072" s="42"/>
    </row>
    <row r="1073" spans="1:771 1026:1795 2050:2819 3074:3843 4098:4867 5122:5891 6146:6915 7170:7939 8194:8963 9218:9987 10242:11011 11266:12035 12290:13059 13314:14083 14338:15107 15362:16131" s="35" customFormat="1" ht="78" x14ac:dyDescent="0.3">
      <c r="A1073" s="36"/>
      <c r="B1073" s="72" t="s">
        <v>849</v>
      </c>
      <c r="C1073" s="43" t="s">
        <v>55</v>
      </c>
      <c r="D1073" s="39" t="s">
        <v>13</v>
      </c>
      <c r="E1073" s="73">
        <v>10.3</v>
      </c>
      <c r="F1073" s="153">
        <v>10404000</v>
      </c>
      <c r="G1073" s="40">
        <f>E1073*F1073</f>
        <v>107161200</v>
      </c>
      <c r="H1073" s="42"/>
    </row>
    <row r="1074" spans="1:771 1026:1795 2050:2819 3074:3843 4098:4867 5122:5891 6146:6915 7170:7939 8194:8963 9218:9987 10242:11011 11266:12035 12290:13059 13314:14083 14338:15107 15362:16131" s="35" customFormat="1" x14ac:dyDescent="0.3">
      <c r="A1074" s="36"/>
      <c r="B1074" s="72" t="s">
        <v>850</v>
      </c>
      <c r="C1074" s="47" t="s">
        <v>35</v>
      </c>
      <c r="D1074" s="39"/>
      <c r="E1074" s="73"/>
      <c r="F1074" s="40"/>
      <c r="G1074" s="41">
        <f>SUM(G1075:G1079)</f>
        <v>14039761.24</v>
      </c>
      <c r="H1074" s="45"/>
    </row>
    <row r="1075" spans="1:771 1026:1795 2050:2819 3074:3843 4098:4867 5122:5891 6146:6915 7170:7939 8194:8963 9218:9987 10242:11011 11266:12035 12290:13059 13314:14083 14338:15107 15362:16131" s="35" customFormat="1" ht="93.6" x14ac:dyDescent="0.3">
      <c r="A1075" s="36"/>
      <c r="B1075" s="72"/>
      <c r="C1075" s="66" t="s">
        <v>853</v>
      </c>
      <c r="D1075" s="39" t="s">
        <v>234</v>
      </c>
      <c r="E1075" s="73">
        <f>((1.74+0.74)*5.32)/2</f>
        <v>6.5968</v>
      </c>
      <c r="F1075" s="74">
        <f>3592000*40%</f>
        <v>1436800</v>
      </c>
      <c r="G1075" s="40">
        <f>E1075*F1075</f>
        <v>9478282.2400000002</v>
      </c>
      <c r="H1075" s="45" t="s">
        <v>2458</v>
      </c>
    </row>
    <row r="1076" spans="1:771 1026:1795 2050:2819 3074:3843 4098:4867 5122:5891 6146:6915 7170:7939 8194:8963 9218:9987 10242:11011 11266:12035 12290:13059 13314:14083 14338:15107 15362:16131" s="35" customFormat="1" x14ac:dyDescent="0.3">
      <c r="A1076" s="36"/>
      <c r="B1076" s="72"/>
      <c r="C1076" s="66" t="s">
        <v>854</v>
      </c>
      <c r="D1076" s="39" t="s">
        <v>234</v>
      </c>
      <c r="E1076" s="73">
        <f>1.3*3</f>
        <v>3.9000000000000004</v>
      </c>
      <c r="F1076" s="74">
        <v>1032000</v>
      </c>
      <c r="G1076" s="40">
        <f>E1076*F1076</f>
        <v>4024800.0000000005</v>
      </c>
      <c r="H1076" s="45"/>
    </row>
    <row r="1077" spans="1:771 1026:1795 2050:2819 3074:3843 4098:4867 5122:5891 6146:6915 7170:7939 8194:8963 9218:9987 10242:11011 11266:12035 12290:13059 13314:14083 14338:15107 15362:16131" s="35" customFormat="1" x14ac:dyDescent="0.3">
      <c r="A1077" s="36"/>
      <c r="B1077" s="72"/>
      <c r="C1077" s="66" t="s">
        <v>189</v>
      </c>
      <c r="D1077" s="39" t="s">
        <v>231</v>
      </c>
      <c r="E1077" s="73">
        <f>1.65*0.3*0.1*2</f>
        <v>9.8999999999999991E-2</v>
      </c>
      <c r="F1077" s="40">
        <v>1421000</v>
      </c>
      <c r="G1077" s="40">
        <f>E1077*F1077</f>
        <v>140679</v>
      </c>
      <c r="H1077" s="45"/>
    </row>
    <row r="1078" spans="1:771 1026:1795 2050:2819 3074:3843 4098:4867 5122:5891 6146:6915 7170:7939 8194:8963 9218:9987 10242:11011 11266:12035 12290:13059 13314:14083 14338:15107 15362:16131" s="35" customFormat="1" x14ac:dyDescent="0.3">
      <c r="A1078" s="36"/>
      <c r="B1078" s="72"/>
      <c r="C1078" s="66" t="s">
        <v>855</v>
      </c>
      <c r="D1078" s="39" t="s">
        <v>234</v>
      </c>
      <c r="E1078" s="73">
        <f>1.65*0.3*2</f>
        <v>0.98999999999999988</v>
      </c>
      <c r="F1078" s="74">
        <v>400000</v>
      </c>
      <c r="G1078" s="40">
        <f>E1078*F1078</f>
        <v>395999.99999999994</v>
      </c>
      <c r="H1078" s="45"/>
    </row>
    <row r="1079" spans="1:771 1026:1795 2050:2819 3074:3843 4098:4867 5122:5891 6146:6915 7170:7939 8194:8963 9218:9987 10242:11011 11266:12035 12290:13059 13314:14083 14338:15107 15362:16131" s="35" customFormat="1" ht="31.2" x14ac:dyDescent="0.3">
      <c r="A1079" s="36"/>
      <c r="B1079" s="72"/>
      <c r="C1079" s="66" t="s">
        <v>328</v>
      </c>
      <c r="D1079" s="39" t="s">
        <v>234</v>
      </c>
      <c r="E1079" s="73">
        <f>((0.3+1.3)*5.32)/2</f>
        <v>4.2560000000000002</v>
      </c>
      <c r="F1079" s="74"/>
      <c r="G1079" s="40">
        <f>E1079*F1079</f>
        <v>0</v>
      </c>
      <c r="H1079" s="45" t="s">
        <v>2453</v>
      </c>
    </row>
    <row r="1080" spans="1:771 1026:1795 2050:2819 3074:3843 4098:4867 5122:5891 6146:6915 7170:7939 8194:8963 9218:9987 10242:11011 11266:12035 12290:13059 13314:14083 14338:15107 15362:16131" s="35" customFormat="1" x14ac:dyDescent="0.3">
      <c r="A1080" s="36"/>
      <c r="B1080" s="46"/>
      <c r="C1080" s="51" t="s">
        <v>20</v>
      </c>
      <c r="D1080" s="39"/>
      <c r="E1080" s="73"/>
      <c r="F1080" s="40"/>
      <c r="G1080" s="41">
        <f>SUM(G1081)</f>
        <v>5000</v>
      </c>
      <c r="H1080" s="52"/>
    </row>
    <row r="1081" spans="1:771 1026:1795 2050:2819 3074:3843 4098:4867 5122:5891 6146:6915 7170:7939 8194:8963 9218:9987 10242:11011 11266:12035 12290:13059 13314:14083 14338:15107 15362:16131" s="77" customFormat="1" x14ac:dyDescent="0.3">
      <c r="A1081" s="36"/>
      <c r="B1081" s="37"/>
      <c r="C1081" s="75" t="s">
        <v>329</v>
      </c>
      <c r="D1081" s="76" t="s">
        <v>234</v>
      </c>
      <c r="E1081" s="73">
        <v>0.5</v>
      </c>
      <c r="F1081" s="74">
        <v>10000</v>
      </c>
      <c r="G1081" s="40">
        <f>E1081*F1081</f>
        <v>5000</v>
      </c>
      <c r="H1081" s="52"/>
    </row>
    <row r="1082" spans="1:771 1026:1795 2050:2819 3074:3843 4098:4867 5122:5891 6146:6915 7170:7939 8194:8963 9218:9987 10242:11011 11266:12035 12290:13059 13314:14083 14338:15107 15362:16131" s="35" customFormat="1" x14ac:dyDescent="0.3">
      <c r="A1082" s="36"/>
      <c r="B1082" s="46"/>
      <c r="C1082" s="51" t="s">
        <v>23</v>
      </c>
      <c r="D1082" s="39"/>
      <c r="E1082" s="1"/>
      <c r="F1082" s="2"/>
      <c r="G1082" s="41">
        <f>SUM(G1083:G1084)</f>
        <v>3060000</v>
      </c>
      <c r="H1082" s="52"/>
    </row>
    <row r="1083" spans="1:771 1026:1795 2050:2819 3074:3843 4098:4867 5122:5891 6146:6915 7170:7939 8194:8963 9218:9987 10242:11011 11266:12035 12290:13059 13314:14083 14338:15107 15362:16131" s="35" customFormat="1" x14ac:dyDescent="0.3">
      <c r="A1083" s="36"/>
      <c r="B1083" s="46"/>
      <c r="C1083" s="50" t="s">
        <v>24</v>
      </c>
      <c r="D1083" s="39" t="s">
        <v>25</v>
      </c>
      <c r="E1083" s="1">
        <f>1*30*6</f>
        <v>180</v>
      </c>
      <c r="F1083" s="2">
        <v>17000</v>
      </c>
      <c r="G1083" s="40">
        <f>E1083*F1083</f>
        <v>3060000</v>
      </c>
      <c r="H1083" s="42"/>
    </row>
    <row r="1084" spans="1:771 1026:1795 2050:2819 3074:3843 4098:4867 5122:5891 6146:6915 7170:7939 8194:8963 9218:9987 10242:11011 11266:12035 12290:13059 13314:14083 14338:15107 15362:16131" s="35" customFormat="1" ht="65.400000000000006" thickBot="1" x14ac:dyDescent="0.35">
      <c r="A1084" s="53"/>
      <c r="B1084" s="54"/>
      <c r="C1084" s="55" t="s">
        <v>2331</v>
      </c>
      <c r="D1084" s="56"/>
      <c r="E1084" s="5"/>
      <c r="F1084" s="6"/>
      <c r="G1084" s="57"/>
      <c r="H1084" s="58"/>
    </row>
    <row r="1085" spans="1:771 1026:1795 2050:2819 3074:3843 4098:4867 5122:5891 6146:6915 7170:7939 8194:8963 9218:9987 10242:11011 11266:12035 12290:13059 13314:14083 14338:15107 15362:16131" s="59" customFormat="1" ht="31.8" thickBot="1" x14ac:dyDescent="0.35">
      <c r="A1085" s="154"/>
      <c r="B1085" s="155" t="s">
        <v>26</v>
      </c>
      <c r="C1085" s="156"/>
      <c r="D1085" s="154"/>
      <c r="E1085" s="157"/>
      <c r="F1085" s="158"/>
      <c r="G1085" s="159">
        <f>SUM(G1071:G1084)/2</f>
        <v>124265961.24000001</v>
      </c>
      <c r="H1085" s="160"/>
      <c r="IX1085" s="35"/>
      <c r="IY1085" s="35"/>
      <c r="ST1085" s="35"/>
      <c r="SU1085" s="35"/>
      <c r="ACP1085" s="35"/>
      <c r="ACQ1085" s="35"/>
      <c r="AML1085" s="35"/>
      <c r="AMM1085" s="35"/>
      <c r="AWH1085" s="35"/>
      <c r="AWI1085" s="35"/>
      <c r="BGD1085" s="35"/>
      <c r="BGE1085" s="35"/>
      <c r="BPZ1085" s="35"/>
      <c r="BQA1085" s="35"/>
      <c r="BZV1085" s="35"/>
      <c r="BZW1085" s="35"/>
      <c r="CJR1085" s="35"/>
      <c r="CJS1085" s="35"/>
      <c r="CTN1085" s="35"/>
      <c r="CTO1085" s="35"/>
      <c r="DDJ1085" s="35"/>
      <c r="DDK1085" s="35"/>
      <c r="DNF1085" s="35"/>
      <c r="DNG1085" s="35"/>
      <c r="DXB1085" s="35"/>
      <c r="DXC1085" s="35"/>
      <c r="EGX1085" s="35"/>
      <c r="EGY1085" s="35"/>
      <c r="EQT1085" s="35"/>
      <c r="EQU1085" s="35"/>
      <c r="FAP1085" s="35"/>
      <c r="FAQ1085" s="35"/>
      <c r="FKL1085" s="35"/>
      <c r="FKM1085" s="35"/>
      <c r="FUH1085" s="35"/>
      <c r="FUI1085" s="35"/>
      <c r="GED1085" s="35"/>
      <c r="GEE1085" s="35"/>
      <c r="GNZ1085" s="35"/>
      <c r="GOA1085" s="35"/>
      <c r="GXV1085" s="35"/>
      <c r="GXW1085" s="35"/>
      <c r="HHR1085" s="35"/>
      <c r="HHS1085" s="35"/>
      <c r="HRN1085" s="35"/>
      <c r="HRO1085" s="35"/>
      <c r="IBJ1085" s="35"/>
      <c r="IBK1085" s="35"/>
      <c r="ILF1085" s="35"/>
      <c r="ILG1085" s="35"/>
      <c r="IVB1085" s="35"/>
      <c r="IVC1085" s="35"/>
      <c r="JEX1085" s="35"/>
      <c r="JEY1085" s="35"/>
      <c r="JOT1085" s="35"/>
      <c r="JOU1085" s="35"/>
      <c r="JYP1085" s="35"/>
      <c r="JYQ1085" s="35"/>
      <c r="KIL1085" s="35"/>
      <c r="KIM1085" s="35"/>
      <c r="KSH1085" s="35"/>
      <c r="KSI1085" s="35"/>
      <c r="LCD1085" s="35"/>
      <c r="LCE1085" s="35"/>
      <c r="LLZ1085" s="35"/>
      <c r="LMA1085" s="35"/>
      <c r="LVV1085" s="35"/>
      <c r="LVW1085" s="35"/>
      <c r="MFR1085" s="35"/>
      <c r="MFS1085" s="35"/>
      <c r="MPN1085" s="35"/>
      <c r="MPO1085" s="35"/>
      <c r="MZJ1085" s="35"/>
      <c r="MZK1085" s="35"/>
      <c r="NJF1085" s="35"/>
      <c r="NJG1085" s="35"/>
      <c r="NTB1085" s="35"/>
      <c r="NTC1085" s="35"/>
      <c r="OCX1085" s="35"/>
      <c r="OCY1085" s="35"/>
      <c r="OMT1085" s="35"/>
      <c r="OMU1085" s="35"/>
      <c r="OWP1085" s="35"/>
      <c r="OWQ1085" s="35"/>
      <c r="PGL1085" s="35"/>
      <c r="PGM1085" s="35"/>
      <c r="PQH1085" s="35"/>
      <c r="PQI1085" s="35"/>
      <c r="QAD1085" s="35"/>
      <c r="QAE1085" s="35"/>
      <c r="QJZ1085" s="35"/>
      <c r="QKA1085" s="35"/>
      <c r="QTV1085" s="35"/>
      <c r="QTW1085" s="35"/>
      <c r="RDR1085" s="35"/>
      <c r="RDS1085" s="35"/>
      <c r="RNN1085" s="35"/>
      <c r="RNO1085" s="35"/>
      <c r="RXJ1085" s="35"/>
      <c r="RXK1085" s="35"/>
      <c r="SHF1085" s="35"/>
      <c r="SHG1085" s="35"/>
      <c r="SRB1085" s="35"/>
      <c r="SRC1085" s="35"/>
      <c r="TAX1085" s="35"/>
      <c r="TAY1085" s="35"/>
      <c r="TKT1085" s="35"/>
      <c r="TKU1085" s="35"/>
      <c r="TUP1085" s="35"/>
      <c r="TUQ1085" s="35"/>
      <c r="UEL1085" s="35"/>
      <c r="UEM1085" s="35"/>
      <c r="UOH1085" s="35"/>
      <c r="UOI1085" s="35"/>
      <c r="UYD1085" s="35"/>
      <c r="UYE1085" s="35"/>
      <c r="VHZ1085" s="35"/>
      <c r="VIA1085" s="35"/>
      <c r="VRV1085" s="35"/>
      <c r="VRW1085" s="35"/>
      <c r="WBR1085" s="35"/>
      <c r="WBS1085" s="35"/>
      <c r="WLN1085" s="35"/>
      <c r="WLO1085" s="35"/>
      <c r="WVJ1085" s="35"/>
      <c r="WVK1085" s="35"/>
    </row>
    <row r="1086" spans="1:771 1026:1795 2050:2819 3074:3843 4098:4867 5122:5891 6146:6915 7170:7939 8194:8963 9218:9987 10242:11011 11266:12035 12290:13059 13314:14083 14338:15107 15362:16131" s="35" customFormat="1" ht="55.2" x14ac:dyDescent="0.3">
      <c r="A1086" s="28">
        <v>100</v>
      </c>
      <c r="B1086" s="29" t="s">
        <v>856</v>
      </c>
      <c r="C1086" s="30" t="s">
        <v>860</v>
      </c>
      <c r="D1086" s="31" t="s">
        <v>13</v>
      </c>
      <c r="E1086" s="32">
        <v>14.1</v>
      </c>
      <c r="F1086" s="33"/>
      <c r="G1086" s="33"/>
      <c r="H1086" s="34" t="s">
        <v>859</v>
      </c>
    </row>
    <row r="1087" spans="1:771 1026:1795 2050:2819 3074:3843 4098:4867 5122:5891 6146:6915 7170:7939 8194:8963 9218:9987 10242:11011 11266:12035 12290:13059 13314:14083 14338:15107 15362:16131" s="35" customFormat="1" x14ac:dyDescent="0.3">
      <c r="A1087" s="36"/>
      <c r="B1087" s="72" t="s">
        <v>857</v>
      </c>
      <c r="C1087" s="38" t="s">
        <v>14</v>
      </c>
      <c r="D1087" s="39"/>
      <c r="E1087" s="44"/>
      <c r="F1087" s="40"/>
      <c r="G1087" s="41">
        <f>SUM(G1088)</f>
        <v>146696400</v>
      </c>
      <c r="H1087" s="42"/>
    </row>
    <row r="1088" spans="1:771 1026:1795 2050:2819 3074:3843 4098:4867 5122:5891 6146:6915 7170:7939 8194:8963 9218:9987 10242:11011 11266:12035 12290:13059 13314:14083 14338:15107 15362:16131" s="35" customFormat="1" ht="46.8" x14ac:dyDescent="0.3">
      <c r="A1088" s="36"/>
      <c r="B1088" s="72" t="s">
        <v>858</v>
      </c>
      <c r="C1088" s="43" t="s">
        <v>55</v>
      </c>
      <c r="D1088" s="39" t="s">
        <v>13</v>
      </c>
      <c r="E1088" s="73">
        <v>14.1</v>
      </c>
      <c r="F1088" s="153">
        <v>10404000</v>
      </c>
      <c r="G1088" s="40">
        <f>E1088*F1088</f>
        <v>146696400</v>
      </c>
      <c r="H1088" s="42"/>
    </row>
    <row r="1089" spans="1:771 1026:1795 2050:2819 3074:3843 4098:4867 5122:5891 6146:6915 7170:7939 8194:8963 9218:9987 10242:11011 11266:12035 12290:13059 13314:14083 14338:15107 15362:16131" s="35" customFormat="1" x14ac:dyDescent="0.3">
      <c r="A1089" s="36"/>
      <c r="B1089" s="38"/>
      <c r="C1089" s="47" t="s">
        <v>35</v>
      </c>
      <c r="D1089" s="39"/>
      <c r="E1089" s="73"/>
      <c r="F1089" s="40"/>
      <c r="G1089" s="41">
        <f>SUM(G1090:G1091)</f>
        <v>2241900</v>
      </c>
      <c r="H1089" s="45"/>
    </row>
    <row r="1090" spans="1:771 1026:1795 2050:2819 3074:3843 4098:4867 5122:5891 6146:6915 7170:7939 8194:8963 9218:9987 10242:11011 11266:12035 12290:13059 13314:14083 14338:15107 15362:16131" s="35" customFormat="1" x14ac:dyDescent="0.3">
      <c r="A1090" s="36"/>
      <c r="B1090" s="72"/>
      <c r="C1090" s="66" t="s">
        <v>189</v>
      </c>
      <c r="D1090" s="39" t="s">
        <v>231</v>
      </c>
      <c r="E1090" s="73">
        <f>4.5*2*0.1</f>
        <v>0.9</v>
      </c>
      <c r="F1090" s="40">
        <v>1421000</v>
      </c>
      <c r="G1090" s="40">
        <f>E1090*F1090</f>
        <v>1278900</v>
      </c>
      <c r="H1090" s="45"/>
    </row>
    <row r="1091" spans="1:771 1026:1795 2050:2819 3074:3843 4098:4867 5122:5891 6146:6915 7170:7939 8194:8963 9218:9987 10242:11011 11266:12035 12290:13059 13314:14083 14338:15107 15362:16131" s="35" customFormat="1" x14ac:dyDescent="0.3">
      <c r="A1091" s="36"/>
      <c r="B1091" s="72"/>
      <c r="C1091" s="66" t="s">
        <v>190</v>
      </c>
      <c r="D1091" s="39" t="s">
        <v>234</v>
      </c>
      <c r="E1091" s="73">
        <f>4.5*2</f>
        <v>9</v>
      </c>
      <c r="F1091" s="74">
        <v>107000</v>
      </c>
      <c r="G1091" s="40">
        <f>E1091*F1091</f>
        <v>963000</v>
      </c>
      <c r="H1091" s="45"/>
    </row>
    <row r="1092" spans="1:771 1026:1795 2050:2819 3074:3843 4098:4867 5122:5891 6146:6915 7170:7939 8194:8963 9218:9987 10242:11011 11266:12035 12290:13059 13314:14083 14338:15107 15362:16131" s="35" customFormat="1" x14ac:dyDescent="0.3">
      <c r="A1092" s="36"/>
      <c r="B1092" s="46"/>
      <c r="C1092" s="51" t="s">
        <v>23</v>
      </c>
      <c r="D1092" s="39"/>
      <c r="E1092" s="1"/>
      <c r="F1092" s="2"/>
      <c r="G1092" s="41">
        <f>SUM(G1093:G1094)</f>
        <v>6120000</v>
      </c>
      <c r="H1092" s="52"/>
    </row>
    <row r="1093" spans="1:771 1026:1795 2050:2819 3074:3843 4098:4867 5122:5891 6146:6915 7170:7939 8194:8963 9218:9987 10242:11011 11266:12035 12290:13059 13314:14083 14338:15107 15362:16131" s="35" customFormat="1" x14ac:dyDescent="0.3">
      <c r="A1093" s="36"/>
      <c r="B1093" s="46"/>
      <c r="C1093" s="50" t="s">
        <v>24</v>
      </c>
      <c r="D1093" s="39" t="s">
        <v>25</v>
      </c>
      <c r="E1093" s="1">
        <f>2*30*6</f>
        <v>360</v>
      </c>
      <c r="F1093" s="2">
        <v>17000</v>
      </c>
      <c r="G1093" s="40">
        <f>E1093*F1093</f>
        <v>6120000</v>
      </c>
      <c r="H1093" s="42"/>
    </row>
    <row r="1094" spans="1:771 1026:1795 2050:2819 3074:3843 4098:4867 5122:5891 6146:6915 7170:7939 8194:8963 9218:9987 10242:11011 11266:12035 12290:13059 13314:14083 14338:15107 15362:16131" s="35" customFormat="1" ht="65.400000000000006" thickBot="1" x14ac:dyDescent="0.35">
      <c r="A1094" s="53"/>
      <c r="B1094" s="54"/>
      <c r="C1094" s="55" t="s">
        <v>2331</v>
      </c>
      <c r="D1094" s="56"/>
      <c r="E1094" s="5"/>
      <c r="F1094" s="6"/>
      <c r="G1094" s="57"/>
      <c r="H1094" s="58"/>
    </row>
    <row r="1095" spans="1:771 1026:1795 2050:2819 3074:3843 4098:4867 5122:5891 6146:6915 7170:7939 8194:8963 9218:9987 10242:11011 11266:12035 12290:13059 13314:14083 14338:15107 15362:16131" s="59" customFormat="1" ht="31.8" thickBot="1" x14ac:dyDescent="0.35">
      <c r="A1095" s="154"/>
      <c r="B1095" s="155" t="s">
        <v>26</v>
      </c>
      <c r="C1095" s="156"/>
      <c r="D1095" s="154"/>
      <c r="E1095" s="157"/>
      <c r="F1095" s="158"/>
      <c r="G1095" s="159">
        <f>SUM(G1086:G1094)/2</f>
        <v>155058300</v>
      </c>
      <c r="H1095" s="160"/>
      <c r="IX1095" s="35"/>
      <c r="IY1095" s="35"/>
      <c r="ST1095" s="35"/>
      <c r="SU1095" s="35"/>
      <c r="ACP1095" s="35"/>
      <c r="ACQ1095" s="35"/>
      <c r="AML1095" s="35"/>
      <c r="AMM1095" s="35"/>
      <c r="AWH1095" s="35"/>
      <c r="AWI1095" s="35"/>
      <c r="BGD1095" s="35"/>
      <c r="BGE1095" s="35"/>
      <c r="BPZ1095" s="35"/>
      <c r="BQA1095" s="35"/>
      <c r="BZV1095" s="35"/>
      <c r="BZW1095" s="35"/>
      <c r="CJR1095" s="35"/>
      <c r="CJS1095" s="35"/>
      <c r="CTN1095" s="35"/>
      <c r="CTO1095" s="35"/>
      <c r="DDJ1095" s="35"/>
      <c r="DDK1095" s="35"/>
      <c r="DNF1095" s="35"/>
      <c r="DNG1095" s="35"/>
      <c r="DXB1095" s="35"/>
      <c r="DXC1095" s="35"/>
      <c r="EGX1095" s="35"/>
      <c r="EGY1095" s="35"/>
      <c r="EQT1095" s="35"/>
      <c r="EQU1095" s="35"/>
      <c r="FAP1095" s="35"/>
      <c r="FAQ1095" s="35"/>
      <c r="FKL1095" s="35"/>
      <c r="FKM1095" s="35"/>
      <c r="FUH1095" s="35"/>
      <c r="FUI1095" s="35"/>
      <c r="GED1095" s="35"/>
      <c r="GEE1095" s="35"/>
      <c r="GNZ1095" s="35"/>
      <c r="GOA1095" s="35"/>
      <c r="GXV1095" s="35"/>
      <c r="GXW1095" s="35"/>
      <c r="HHR1095" s="35"/>
      <c r="HHS1095" s="35"/>
      <c r="HRN1095" s="35"/>
      <c r="HRO1095" s="35"/>
      <c r="IBJ1095" s="35"/>
      <c r="IBK1095" s="35"/>
      <c r="ILF1095" s="35"/>
      <c r="ILG1095" s="35"/>
      <c r="IVB1095" s="35"/>
      <c r="IVC1095" s="35"/>
      <c r="JEX1095" s="35"/>
      <c r="JEY1095" s="35"/>
      <c r="JOT1095" s="35"/>
      <c r="JOU1095" s="35"/>
      <c r="JYP1095" s="35"/>
      <c r="JYQ1095" s="35"/>
      <c r="KIL1095" s="35"/>
      <c r="KIM1095" s="35"/>
      <c r="KSH1095" s="35"/>
      <c r="KSI1095" s="35"/>
      <c r="LCD1095" s="35"/>
      <c r="LCE1095" s="35"/>
      <c r="LLZ1095" s="35"/>
      <c r="LMA1095" s="35"/>
      <c r="LVV1095" s="35"/>
      <c r="LVW1095" s="35"/>
      <c r="MFR1095" s="35"/>
      <c r="MFS1095" s="35"/>
      <c r="MPN1095" s="35"/>
      <c r="MPO1095" s="35"/>
      <c r="MZJ1095" s="35"/>
      <c r="MZK1095" s="35"/>
      <c r="NJF1095" s="35"/>
      <c r="NJG1095" s="35"/>
      <c r="NTB1095" s="35"/>
      <c r="NTC1095" s="35"/>
      <c r="OCX1095" s="35"/>
      <c r="OCY1095" s="35"/>
      <c r="OMT1095" s="35"/>
      <c r="OMU1095" s="35"/>
      <c r="OWP1095" s="35"/>
      <c r="OWQ1095" s="35"/>
      <c r="PGL1095" s="35"/>
      <c r="PGM1095" s="35"/>
      <c r="PQH1095" s="35"/>
      <c r="PQI1095" s="35"/>
      <c r="QAD1095" s="35"/>
      <c r="QAE1095" s="35"/>
      <c r="QJZ1095" s="35"/>
      <c r="QKA1095" s="35"/>
      <c r="QTV1095" s="35"/>
      <c r="QTW1095" s="35"/>
      <c r="RDR1095" s="35"/>
      <c r="RDS1095" s="35"/>
      <c r="RNN1095" s="35"/>
      <c r="RNO1095" s="35"/>
      <c r="RXJ1095" s="35"/>
      <c r="RXK1095" s="35"/>
      <c r="SHF1095" s="35"/>
      <c r="SHG1095" s="35"/>
      <c r="SRB1095" s="35"/>
      <c r="SRC1095" s="35"/>
      <c r="TAX1095" s="35"/>
      <c r="TAY1095" s="35"/>
      <c r="TKT1095" s="35"/>
      <c r="TKU1095" s="35"/>
      <c r="TUP1095" s="35"/>
      <c r="TUQ1095" s="35"/>
      <c r="UEL1095" s="35"/>
      <c r="UEM1095" s="35"/>
      <c r="UOH1095" s="35"/>
      <c r="UOI1095" s="35"/>
      <c r="UYD1095" s="35"/>
      <c r="UYE1095" s="35"/>
      <c r="VHZ1095" s="35"/>
      <c r="VIA1095" s="35"/>
      <c r="VRV1095" s="35"/>
      <c r="VRW1095" s="35"/>
      <c r="WBR1095" s="35"/>
      <c r="WBS1095" s="35"/>
      <c r="WLN1095" s="35"/>
      <c r="WLO1095" s="35"/>
      <c r="WVJ1095" s="35"/>
      <c r="WVK1095" s="35"/>
    </row>
    <row r="1096" spans="1:771 1026:1795 2050:2819 3074:3843 4098:4867 5122:5891 6146:6915 7170:7939 8194:8963 9218:9987 10242:11011 11266:12035 12290:13059 13314:14083 14338:15107 15362:16131" s="35" customFormat="1" ht="55.2" x14ac:dyDescent="0.3">
      <c r="A1096" s="28">
        <v>101</v>
      </c>
      <c r="B1096" s="29" t="s">
        <v>861</v>
      </c>
      <c r="C1096" s="30" t="s">
        <v>2174</v>
      </c>
      <c r="D1096" s="31" t="s">
        <v>13</v>
      </c>
      <c r="E1096" s="32">
        <v>14.8</v>
      </c>
      <c r="F1096" s="33"/>
      <c r="G1096" s="33"/>
      <c r="H1096" s="34" t="s">
        <v>864</v>
      </c>
    </row>
    <row r="1097" spans="1:771 1026:1795 2050:2819 3074:3843 4098:4867 5122:5891 6146:6915 7170:7939 8194:8963 9218:9987 10242:11011 11266:12035 12290:13059 13314:14083 14338:15107 15362:16131" s="35" customFormat="1" x14ac:dyDescent="0.3">
      <c r="A1097" s="36"/>
      <c r="B1097" s="72" t="s">
        <v>862</v>
      </c>
      <c r="C1097" s="38" t="s">
        <v>14</v>
      </c>
      <c r="D1097" s="39"/>
      <c r="E1097" s="44"/>
      <c r="F1097" s="40"/>
      <c r="G1097" s="41">
        <f>SUM(G1098)</f>
        <v>288289200</v>
      </c>
      <c r="H1097" s="42"/>
    </row>
    <row r="1098" spans="1:771 1026:1795 2050:2819 3074:3843 4098:4867 5122:5891 6146:6915 7170:7939 8194:8963 9218:9987 10242:11011 11266:12035 12290:13059 13314:14083 14338:15107 15362:16131" s="35" customFormat="1" ht="62.4" x14ac:dyDescent="0.3">
      <c r="A1098" s="36"/>
      <c r="B1098" s="72" t="s">
        <v>863</v>
      </c>
      <c r="C1098" s="48" t="s">
        <v>38</v>
      </c>
      <c r="D1098" s="39" t="s">
        <v>13</v>
      </c>
      <c r="E1098" s="44">
        <v>14.8</v>
      </c>
      <c r="F1098" s="161">
        <v>19479000</v>
      </c>
      <c r="G1098" s="40">
        <f>E1098*F1098</f>
        <v>288289200</v>
      </c>
      <c r="H1098" s="42"/>
    </row>
    <row r="1099" spans="1:771 1026:1795 2050:2819 3074:3843 4098:4867 5122:5891 6146:6915 7170:7939 8194:8963 9218:9987 10242:11011 11266:12035 12290:13059 13314:14083 14338:15107 15362:16131" s="35" customFormat="1" x14ac:dyDescent="0.3">
      <c r="A1099" s="36"/>
      <c r="B1099" s="38"/>
      <c r="C1099" s="47" t="s">
        <v>35</v>
      </c>
      <c r="D1099" s="39"/>
      <c r="E1099" s="73"/>
      <c r="F1099" s="40"/>
      <c r="G1099" s="41">
        <f>SUM(G1100:G1102)</f>
        <v>6474600</v>
      </c>
      <c r="H1099" s="45"/>
    </row>
    <row r="1100" spans="1:771 1026:1795 2050:2819 3074:3843 4098:4867 5122:5891 6146:6915 7170:7939 8194:8963 9218:9987 10242:11011 11266:12035 12290:13059 13314:14083 14338:15107 15362:16131" s="35" customFormat="1" ht="46.8" x14ac:dyDescent="0.3">
      <c r="A1100" s="36"/>
      <c r="B1100" s="72"/>
      <c r="C1100" s="66" t="s">
        <v>865</v>
      </c>
      <c r="D1100" s="39" t="s">
        <v>234</v>
      </c>
      <c r="E1100" s="73">
        <v>10.27</v>
      </c>
      <c r="F1100" s="74">
        <v>540000</v>
      </c>
      <c r="G1100" s="40">
        <f>E1100*F1100</f>
        <v>5545800</v>
      </c>
      <c r="H1100" s="45" t="s">
        <v>2375</v>
      </c>
    </row>
    <row r="1101" spans="1:771 1026:1795 2050:2819 3074:3843 4098:4867 5122:5891 6146:6915 7170:7939 8194:8963 9218:9987 10242:11011 11266:12035 12290:13059 13314:14083 14338:15107 15362:16131" s="35" customFormat="1" x14ac:dyDescent="0.3">
      <c r="A1101" s="36"/>
      <c r="B1101" s="72"/>
      <c r="C1101" s="66" t="s">
        <v>362</v>
      </c>
      <c r="D1101" s="39" t="s">
        <v>234</v>
      </c>
      <c r="E1101" s="73">
        <v>3.6</v>
      </c>
      <c r="F1101" s="74">
        <v>258000</v>
      </c>
      <c r="G1101" s="40">
        <f>E1101*F1101</f>
        <v>928800</v>
      </c>
      <c r="H1101" s="45"/>
    </row>
    <row r="1102" spans="1:771 1026:1795 2050:2819 3074:3843 4098:4867 5122:5891 6146:6915 7170:7939 8194:8963 9218:9987 10242:11011 11266:12035 12290:13059 13314:14083 14338:15107 15362:16131" s="35" customFormat="1" ht="65.400000000000006" thickBot="1" x14ac:dyDescent="0.35">
      <c r="A1102" s="53"/>
      <c r="B1102" s="54"/>
      <c r="C1102" s="55" t="s">
        <v>2331</v>
      </c>
      <c r="D1102" s="56"/>
      <c r="E1102" s="5"/>
      <c r="F1102" s="6"/>
      <c r="G1102" s="57"/>
      <c r="H1102" s="58"/>
    </row>
    <row r="1103" spans="1:771 1026:1795 2050:2819 3074:3843 4098:4867 5122:5891 6146:6915 7170:7939 8194:8963 9218:9987 10242:11011 11266:12035 12290:13059 13314:14083 14338:15107 15362:16131" s="59" customFormat="1" ht="31.8" thickBot="1" x14ac:dyDescent="0.35">
      <c r="A1103" s="154"/>
      <c r="B1103" s="155" t="s">
        <v>26</v>
      </c>
      <c r="C1103" s="156"/>
      <c r="D1103" s="154"/>
      <c r="E1103" s="157"/>
      <c r="F1103" s="158"/>
      <c r="G1103" s="159">
        <f>SUM(G1096:G1102)/2</f>
        <v>294763800</v>
      </c>
      <c r="H1103" s="160"/>
      <c r="IX1103" s="35"/>
      <c r="IY1103" s="35"/>
      <c r="ST1103" s="35"/>
      <c r="SU1103" s="35"/>
      <c r="ACP1103" s="35"/>
      <c r="ACQ1103" s="35"/>
      <c r="AML1103" s="35"/>
      <c r="AMM1103" s="35"/>
      <c r="AWH1103" s="35"/>
      <c r="AWI1103" s="35"/>
      <c r="BGD1103" s="35"/>
      <c r="BGE1103" s="35"/>
      <c r="BPZ1103" s="35"/>
      <c r="BQA1103" s="35"/>
      <c r="BZV1103" s="35"/>
      <c r="BZW1103" s="35"/>
      <c r="CJR1103" s="35"/>
      <c r="CJS1103" s="35"/>
      <c r="CTN1103" s="35"/>
      <c r="CTO1103" s="35"/>
      <c r="DDJ1103" s="35"/>
      <c r="DDK1103" s="35"/>
      <c r="DNF1103" s="35"/>
      <c r="DNG1103" s="35"/>
      <c r="DXB1103" s="35"/>
      <c r="DXC1103" s="35"/>
      <c r="EGX1103" s="35"/>
      <c r="EGY1103" s="35"/>
      <c r="EQT1103" s="35"/>
      <c r="EQU1103" s="35"/>
      <c r="FAP1103" s="35"/>
      <c r="FAQ1103" s="35"/>
      <c r="FKL1103" s="35"/>
      <c r="FKM1103" s="35"/>
      <c r="FUH1103" s="35"/>
      <c r="FUI1103" s="35"/>
      <c r="GED1103" s="35"/>
      <c r="GEE1103" s="35"/>
      <c r="GNZ1103" s="35"/>
      <c r="GOA1103" s="35"/>
      <c r="GXV1103" s="35"/>
      <c r="GXW1103" s="35"/>
      <c r="HHR1103" s="35"/>
      <c r="HHS1103" s="35"/>
      <c r="HRN1103" s="35"/>
      <c r="HRO1103" s="35"/>
      <c r="IBJ1103" s="35"/>
      <c r="IBK1103" s="35"/>
      <c r="ILF1103" s="35"/>
      <c r="ILG1103" s="35"/>
      <c r="IVB1103" s="35"/>
      <c r="IVC1103" s="35"/>
      <c r="JEX1103" s="35"/>
      <c r="JEY1103" s="35"/>
      <c r="JOT1103" s="35"/>
      <c r="JOU1103" s="35"/>
      <c r="JYP1103" s="35"/>
      <c r="JYQ1103" s="35"/>
      <c r="KIL1103" s="35"/>
      <c r="KIM1103" s="35"/>
      <c r="KSH1103" s="35"/>
      <c r="KSI1103" s="35"/>
      <c r="LCD1103" s="35"/>
      <c r="LCE1103" s="35"/>
      <c r="LLZ1103" s="35"/>
      <c r="LMA1103" s="35"/>
      <c r="LVV1103" s="35"/>
      <c r="LVW1103" s="35"/>
      <c r="MFR1103" s="35"/>
      <c r="MFS1103" s="35"/>
      <c r="MPN1103" s="35"/>
      <c r="MPO1103" s="35"/>
      <c r="MZJ1103" s="35"/>
      <c r="MZK1103" s="35"/>
      <c r="NJF1103" s="35"/>
      <c r="NJG1103" s="35"/>
      <c r="NTB1103" s="35"/>
      <c r="NTC1103" s="35"/>
      <c r="OCX1103" s="35"/>
      <c r="OCY1103" s="35"/>
      <c r="OMT1103" s="35"/>
      <c r="OMU1103" s="35"/>
      <c r="OWP1103" s="35"/>
      <c r="OWQ1103" s="35"/>
      <c r="PGL1103" s="35"/>
      <c r="PGM1103" s="35"/>
      <c r="PQH1103" s="35"/>
      <c r="PQI1103" s="35"/>
      <c r="QAD1103" s="35"/>
      <c r="QAE1103" s="35"/>
      <c r="QJZ1103" s="35"/>
      <c r="QKA1103" s="35"/>
      <c r="QTV1103" s="35"/>
      <c r="QTW1103" s="35"/>
      <c r="RDR1103" s="35"/>
      <c r="RDS1103" s="35"/>
      <c r="RNN1103" s="35"/>
      <c r="RNO1103" s="35"/>
      <c r="RXJ1103" s="35"/>
      <c r="RXK1103" s="35"/>
      <c r="SHF1103" s="35"/>
      <c r="SHG1103" s="35"/>
      <c r="SRB1103" s="35"/>
      <c r="SRC1103" s="35"/>
      <c r="TAX1103" s="35"/>
      <c r="TAY1103" s="35"/>
      <c r="TKT1103" s="35"/>
      <c r="TKU1103" s="35"/>
      <c r="TUP1103" s="35"/>
      <c r="TUQ1103" s="35"/>
      <c r="UEL1103" s="35"/>
      <c r="UEM1103" s="35"/>
      <c r="UOH1103" s="35"/>
      <c r="UOI1103" s="35"/>
      <c r="UYD1103" s="35"/>
      <c r="UYE1103" s="35"/>
      <c r="VHZ1103" s="35"/>
      <c r="VIA1103" s="35"/>
      <c r="VRV1103" s="35"/>
      <c r="VRW1103" s="35"/>
      <c r="WBR1103" s="35"/>
      <c r="WBS1103" s="35"/>
      <c r="WLN1103" s="35"/>
      <c r="WLO1103" s="35"/>
      <c r="WVJ1103" s="35"/>
      <c r="WVK1103" s="35"/>
    </row>
    <row r="1104" spans="1:771 1026:1795 2050:2819 3074:3843 4098:4867 5122:5891 6146:6915 7170:7939 8194:8963 9218:9987 10242:11011 11266:12035 12290:13059 13314:14083 14338:15107 15362:16131" s="35" customFormat="1" ht="55.2" x14ac:dyDescent="0.3">
      <c r="A1104" s="28">
        <v>102</v>
      </c>
      <c r="B1104" s="29" t="s">
        <v>866</v>
      </c>
      <c r="C1104" s="30" t="s">
        <v>869</v>
      </c>
      <c r="D1104" s="31" t="s">
        <v>13</v>
      </c>
      <c r="E1104" s="32">
        <v>26.3</v>
      </c>
      <c r="F1104" s="33"/>
      <c r="G1104" s="33"/>
      <c r="H1104" s="34" t="s">
        <v>868</v>
      </c>
    </row>
    <row r="1105" spans="1:771 1026:1795 2050:2819 3074:3843 4098:4867 5122:5891 6146:6915 7170:7939 8194:8963 9218:9987 10242:11011 11266:12035 12290:13059 13314:14083 14338:15107 15362:16131" s="35" customFormat="1" x14ac:dyDescent="0.3">
      <c r="A1105" s="36"/>
      <c r="B1105" s="72" t="s">
        <v>867</v>
      </c>
      <c r="C1105" s="38" t="s">
        <v>14</v>
      </c>
      <c r="D1105" s="39"/>
      <c r="E1105" s="44"/>
      <c r="F1105" s="40"/>
      <c r="G1105" s="41">
        <f>SUM(G1106)</f>
        <v>273625200</v>
      </c>
      <c r="H1105" s="42"/>
    </row>
    <row r="1106" spans="1:771 1026:1795 2050:2819 3074:3843 4098:4867 5122:5891 6146:6915 7170:7939 8194:8963 9218:9987 10242:11011 11266:12035 12290:13059 13314:14083 14338:15107 15362:16131" s="35" customFormat="1" ht="62.4" x14ac:dyDescent="0.3">
      <c r="A1106" s="36"/>
      <c r="B1106" s="72" t="s">
        <v>863</v>
      </c>
      <c r="C1106" s="43" t="s">
        <v>55</v>
      </c>
      <c r="D1106" s="39" t="s">
        <v>13</v>
      </c>
      <c r="E1106" s="73">
        <v>26.3</v>
      </c>
      <c r="F1106" s="153">
        <v>10404000</v>
      </c>
      <c r="G1106" s="40">
        <f>E1106*F1106</f>
        <v>273625200</v>
      </c>
      <c r="H1106" s="42"/>
    </row>
    <row r="1107" spans="1:771 1026:1795 2050:2819 3074:3843 4098:4867 5122:5891 6146:6915 7170:7939 8194:8963 9218:9987 10242:11011 11266:12035 12290:13059 13314:14083 14338:15107 15362:16131" s="35" customFormat="1" x14ac:dyDescent="0.3">
      <c r="A1107" s="36"/>
      <c r="B1107" s="38"/>
      <c r="C1107" s="47" t="s">
        <v>35</v>
      </c>
      <c r="D1107" s="39"/>
      <c r="E1107" s="73"/>
      <c r="F1107" s="40"/>
      <c r="G1107" s="41">
        <f>SUM(G1108)</f>
        <v>3584154</v>
      </c>
      <c r="H1107" s="45"/>
    </row>
    <row r="1108" spans="1:771 1026:1795 2050:2819 3074:3843 4098:4867 5122:5891 6146:6915 7170:7939 8194:8963 9218:9987 10242:11011 11266:12035 12290:13059 13314:14083 14338:15107 15362:16131" s="35" customFormat="1" x14ac:dyDescent="0.3">
      <c r="A1108" s="36"/>
      <c r="B1108" s="72"/>
      <c r="C1108" s="66" t="s">
        <v>628</v>
      </c>
      <c r="D1108" s="39" t="s">
        <v>231</v>
      </c>
      <c r="E1108" s="73">
        <f>16.7*2.8*0.05</f>
        <v>2.3380000000000001</v>
      </c>
      <c r="F1108" s="40">
        <v>1533000</v>
      </c>
      <c r="G1108" s="40">
        <f>E1108*F1108</f>
        <v>3584154</v>
      </c>
      <c r="H1108" s="45"/>
    </row>
    <row r="1109" spans="1:771 1026:1795 2050:2819 3074:3843 4098:4867 5122:5891 6146:6915 7170:7939 8194:8963 9218:9987 10242:11011 11266:12035 12290:13059 13314:14083 14338:15107 15362:16131" s="35" customFormat="1" x14ac:dyDescent="0.3">
      <c r="A1109" s="36"/>
      <c r="B1109" s="46"/>
      <c r="C1109" s="51" t="s">
        <v>20</v>
      </c>
      <c r="D1109" s="39"/>
      <c r="E1109" s="73"/>
      <c r="F1109" s="40"/>
      <c r="G1109" s="41">
        <f>SUM(G1110)</f>
        <v>600000</v>
      </c>
      <c r="H1109" s="52"/>
    </row>
    <row r="1110" spans="1:771 1026:1795 2050:2819 3074:3843 4098:4867 5122:5891 6146:6915 7170:7939 8194:8963 9218:9987 10242:11011 11266:12035 12290:13059 13314:14083 14338:15107 15362:16131" s="77" customFormat="1" x14ac:dyDescent="0.3">
      <c r="A1110" s="36"/>
      <c r="B1110" s="37"/>
      <c r="C1110" s="75" t="s">
        <v>870</v>
      </c>
      <c r="D1110" s="76" t="s">
        <v>21</v>
      </c>
      <c r="E1110" s="73">
        <v>1</v>
      </c>
      <c r="F1110" s="74">
        <v>600000</v>
      </c>
      <c r="G1110" s="40">
        <f>E1110*F1110</f>
        <v>600000</v>
      </c>
      <c r="H1110" s="52"/>
    </row>
    <row r="1111" spans="1:771 1026:1795 2050:2819 3074:3843 4098:4867 5122:5891 6146:6915 7170:7939 8194:8963 9218:9987 10242:11011 11266:12035 12290:13059 13314:14083 14338:15107 15362:16131" s="35" customFormat="1" x14ac:dyDescent="0.3">
      <c r="A1111" s="36"/>
      <c r="B1111" s="46"/>
      <c r="C1111" s="51" t="s">
        <v>23</v>
      </c>
      <c r="D1111" s="39"/>
      <c r="E1111" s="1"/>
      <c r="F1111" s="2"/>
      <c r="G1111" s="41">
        <f>SUM(G1112)</f>
        <v>3060000</v>
      </c>
      <c r="H1111" s="52"/>
    </row>
    <row r="1112" spans="1:771 1026:1795 2050:2819 3074:3843 4098:4867 5122:5891 6146:6915 7170:7939 8194:8963 9218:9987 10242:11011 11266:12035 12290:13059 13314:14083 14338:15107 15362:16131" s="35" customFormat="1" x14ac:dyDescent="0.3">
      <c r="A1112" s="36"/>
      <c r="B1112" s="46"/>
      <c r="C1112" s="50" t="s">
        <v>24</v>
      </c>
      <c r="D1112" s="39" t="s">
        <v>25</v>
      </c>
      <c r="E1112" s="1">
        <f>1*30*6</f>
        <v>180</v>
      </c>
      <c r="F1112" s="2">
        <v>17000</v>
      </c>
      <c r="G1112" s="40">
        <f>E1112*F1112</f>
        <v>3060000</v>
      </c>
      <c r="H1112" s="42"/>
    </row>
    <row r="1113" spans="1:771 1026:1795 2050:2819 3074:3843 4098:4867 5122:5891 6146:6915 7170:7939 8194:8963 9218:9987 10242:11011 11266:12035 12290:13059 13314:14083 14338:15107 15362:16131" s="35" customFormat="1" ht="65.400000000000006" thickBot="1" x14ac:dyDescent="0.35">
      <c r="A1113" s="53"/>
      <c r="B1113" s="54"/>
      <c r="C1113" s="55" t="s">
        <v>2331</v>
      </c>
      <c r="D1113" s="56"/>
      <c r="E1113" s="5"/>
      <c r="F1113" s="6"/>
      <c r="G1113" s="57"/>
      <c r="H1113" s="58"/>
    </row>
    <row r="1114" spans="1:771 1026:1795 2050:2819 3074:3843 4098:4867 5122:5891 6146:6915 7170:7939 8194:8963 9218:9987 10242:11011 11266:12035 12290:13059 13314:14083 14338:15107 15362:16131" s="59" customFormat="1" ht="31.8" thickBot="1" x14ac:dyDescent="0.35">
      <c r="A1114" s="154"/>
      <c r="B1114" s="155" t="s">
        <v>26</v>
      </c>
      <c r="C1114" s="156"/>
      <c r="D1114" s="154"/>
      <c r="E1114" s="157"/>
      <c r="F1114" s="158"/>
      <c r="G1114" s="159">
        <f>SUM(G1104:G1113)/2</f>
        <v>280869354</v>
      </c>
      <c r="H1114" s="160"/>
      <c r="IX1114" s="35"/>
      <c r="IY1114" s="35"/>
      <c r="ST1114" s="35"/>
      <c r="SU1114" s="35"/>
      <c r="ACP1114" s="35"/>
      <c r="ACQ1114" s="35"/>
      <c r="AML1114" s="35"/>
      <c r="AMM1114" s="35"/>
      <c r="AWH1114" s="35"/>
      <c r="AWI1114" s="35"/>
      <c r="BGD1114" s="35"/>
      <c r="BGE1114" s="35"/>
      <c r="BPZ1114" s="35"/>
      <c r="BQA1114" s="35"/>
      <c r="BZV1114" s="35"/>
      <c r="BZW1114" s="35"/>
      <c r="CJR1114" s="35"/>
      <c r="CJS1114" s="35"/>
      <c r="CTN1114" s="35"/>
      <c r="CTO1114" s="35"/>
      <c r="DDJ1114" s="35"/>
      <c r="DDK1114" s="35"/>
      <c r="DNF1114" s="35"/>
      <c r="DNG1114" s="35"/>
      <c r="DXB1114" s="35"/>
      <c r="DXC1114" s="35"/>
      <c r="EGX1114" s="35"/>
      <c r="EGY1114" s="35"/>
      <c r="EQT1114" s="35"/>
      <c r="EQU1114" s="35"/>
      <c r="FAP1114" s="35"/>
      <c r="FAQ1114" s="35"/>
      <c r="FKL1114" s="35"/>
      <c r="FKM1114" s="35"/>
      <c r="FUH1114" s="35"/>
      <c r="FUI1114" s="35"/>
      <c r="GED1114" s="35"/>
      <c r="GEE1114" s="35"/>
      <c r="GNZ1114" s="35"/>
      <c r="GOA1114" s="35"/>
      <c r="GXV1114" s="35"/>
      <c r="GXW1114" s="35"/>
      <c r="HHR1114" s="35"/>
      <c r="HHS1114" s="35"/>
      <c r="HRN1114" s="35"/>
      <c r="HRO1114" s="35"/>
      <c r="IBJ1114" s="35"/>
      <c r="IBK1114" s="35"/>
      <c r="ILF1114" s="35"/>
      <c r="ILG1114" s="35"/>
      <c r="IVB1114" s="35"/>
      <c r="IVC1114" s="35"/>
      <c r="JEX1114" s="35"/>
      <c r="JEY1114" s="35"/>
      <c r="JOT1114" s="35"/>
      <c r="JOU1114" s="35"/>
      <c r="JYP1114" s="35"/>
      <c r="JYQ1114" s="35"/>
      <c r="KIL1114" s="35"/>
      <c r="KIM1114" s="35"/>
      <c r="KSH1114" s="35"/>
      <c r="KSI1114" s="35"/>
      <c r="LCD1114" s="35"/>
      <c r="LCE1114" s="35"/>
      <c r="LLZ1114" s="35"/>
      <c r="LMA1114" s="35"/>
      <c r="LVV1114" s="35"/>
      <c r="LVW1114" s="35"/>
      <c r="MFR1114" s="35"/>
      <c r="MFS1114" s="35"/>
      <c r="MPN1114" s="35"/>
      <c r="MPO1114" s="35"/>
      <c r="MZJ1114" s="35"/>
      <c r="MZK1114" s="35"/>
      <c r="NJF1114" s="35"/>
      <c r="NJG1114" s="35"/>
      <c r="NTB1114" s="35"/>
      <c r="NTC1114" s="35"/>
      <c r="OCX1114" s="35"/>
      <c r="OCY1114" s="35"/>
      <c r="OMT1114" s="35"/>
      <c r="OMU1114" s="35"/>
      <c r="OWP1114" s="35"/>
      <c r="OWQ1114" s="35"/>
      <c r="PGL1114" s="35"/>
      <c r="PGM1114" s="35"/>
      <c r="PQH1114" s="35"/>
      <c r="PQI1114" s="35"/>
      <c r="QAD1114" s="35"/>
      <c r="QAE1114" s="35"/>
      <c r="QJZ1114" s="35"/>
      <c r="QKA1114" s="35"/>
      <c r="QTV1114" s="35"/>
      <c r="QTW1114" s="35"/>
      <c r="RDR1114" s="35"/>
      <c r="RDS1114" s="35"/>
      <c r="RNN1114" s="35"/>
      <c r="RNO1114" s="35"/>
      <c r="RXJ1114" s="35"/>
      <c r="RXK1114" s="35"/>
      <c r="SHF1114" s="35"/>
      <c r="SHG1114" s="35"/>
      <c r="SRB1114" s="35"/>
      <c r="SRC1114" s="35"/>
      <c r="TAX1114" s="35"/>
      <c r="TAY1114" s="35"/>
      <c r="TKT1114" s="35"/>
      <c r="TKU1114" s="35"/>
      <c r="TUP1114" s="35"/>
      <c r="TUQ1114" s="35"/>
      <c r="UEL1114" s="35"/>
      <c r="UEM1114" s="35"/>
      <c r="UOH1114" s="35"/>
      <c r="UOI1114" s="35"/>
      <c r="UYD1114" s="35"/>
      <c r="UYE1114" s="35"/>
      <c r="VHZ1114" s="35"/>
      <c r="VIA1114" s="35"/>
      <c r="VRV1114" s="35"/>
      <c r="VRW1114" s="35"/>
      <c r="WBR1114" s="35"/>
      <c r="WBS1114" s="35"/>
      <c r="WLN1114" s="35"/>
      <c r="WLO1114" s="35"/>
      <c r="WVJ1114" s="35"/>
      <c r="WVK1114" s="35"/>
    </row>
    <row r="1115" spans="1:771 1026:1795 2050:2819 3074:3843 4098:4867 5122:5891 6146:6915 7170:7939 8194:8963 9218:9987 10242:11011 11266:12035 12290:13059 13314:14083 14338:15107 15362:16131" s="35" customFormat="1" ht="41.4" x14ac:dyDescent="0.3">
      <c r="A1115" s="28">
        <v>103</v>
      </c>
      <c r="B1115" s="29" t="s">
        <v>875</v>
      </c>
      <c r="C1115" s="30" t="s">
        <v>876</v>
      </c>
      <c r="D1115" s="31" t="s">
        <v>13</v>
      </c>
      <c r="E1115" s="32">
        <v>8.1</v>
      </c>
      <c r="F1115" s="33"/>
      <c r="G1115" s="33"/>
      <c r="H1115" s="34" t="s">
        <v>874</v>
      </c>
    </row>
    <row r="1116" spans="1:771 1026:1795 2050:2819 3074:3843 4098:4867 5122:5891 6146:6915 7170:7939 8194:8963 9218:9987 10242:11011 11266:12035 12290:13059 13314:14083 14338:15107 15362:16131" s="35" customFormat="1" x14ac:dyDescent="0.3">
      <c r="A1116" s="36"/>
      <c r="B1116" s="72" t="s">
        <v>871</v>
      </c>
      <c r="C1116" s="38" t="s">
        <v>14</v>
      </c>
      <c r="D1116" s="39"/>
      <c r="E1116" s="44"/>
      <c r="F1116" s="40"/>
      <c r="G1116" s="41">
        <f>SUM(G1117)</f>
        <v>157779900</v>
      </c>
      <c r="H1116" s="42"/>
    </row>
    <row r="1117" spans="1:771 1026:1795 2050:2819 3074:3843 4098:4867 5122:5891 6146:6915 7170:7939 8194:8963 9218:9987 10242:11011 11266:12035 12290:13059 13314:14083 14338:15107 15362:16131" s="35" customFormat="1" ht="78" x14ac:dyDescent="0.3">
      <c r="A1117" s="36"/>
      <c r="B1117" s="72" t="s">
        <v>872</v>
      </c>
      <c r="C1117" s="48" t="s">
        <v>38</v>
      </c>
      <c r="D1117" s="39" t="s">
        <v>13</v>
      </c>
      <c r="E1117" s="44">
        <v>8.1</v>
      </c>
      <c r="F1117" s="161">
        <v>19479000</v>
      </c>
      <c r="G1117" s="40">
        <f>E1117*F1117</f>
        <v>157779900</v>
      </c>
      <c r="H1117" s="42"/>
    </row>
    <row r="1118" spans="1:771 1026:1795 2050:2819 3074:3843 4098:4867 5122:5891 6146:6915 7170:7939 8194:8963 9218:9987 10242:11011 11266:12035 12290:13059 13314:14083 14338:15107 15362:16131" s="35" customFormat="1" x14ac:dyDescent="0.3">
      <c r="A1118" s="36"/>
      <c r="B1118" s="72" t="s">
        <v>873</v>
      </c>
      <c r="C1118" s="47" t="s">
        <v>35</v>
      </c>
      <c r="D1118" s="39"/>
      <c r="E1118" s="73"/>
      <c r="F1118" s="40"/>
      <c r="G1118" s="41">
        <f>SUM(G1119)</f>
        <v>28520480</v>
      </c>
      <c r="H1118" s="45"/>
    </row>
    <row r="1119" spans="1:771 1026:1795 2050:2819 3074:3843 4098:4867 5122:5891 6146:6915 7170:7939 8194:8963 9218:9987 10242:11011 11266:12035 12290:13059 13314:14083 14338:15107 15362:16131" s="35" customFormat="1" ht="69" x14ac:dyDescent="0.3">
      <c r="A1119" s="36"/>
      <c r="B1119" s="72"/>
      <c r="C1119" s="101" t="s">
        <v>877</v>
      </c>
      <c r="D1119" s="39" t="s">
        <v>234</v>
      </c>
      <c r="E1119" s="73">
        <f>2*3.97</f>
        <v>7.94</v>
      </c>
      <c r="F1119" s="74">
        <v>3592000</v>
      </c>
      <c r="G1119" s="40">
        <f>E1119*F1119</f>
        <v>28520480</v>
      </c>
      <c r="H1119" s="45" t="s">
        <v>2459</v>
      </c>
    </row>
    <row r="1120" spans="1:771 1026:1795 2050:2819 3074:3843 4098:4867 5122:5891 6146:6915 7170:7939 8194:8963 9218:9987 10242:11011 11266:12035 12290:13059 13314:14083 14338:15107 15362:16131" s="35" customFormat="1" ht="65.400000000000006" thickBot="1" x14ac:dyDescent="0.35">
      <c r="A1120" s="53"/>
      <c r="B1120" s="54"/>
      <c r="C1120" s="55" t="s">
        <v>2331</v>
      </c>
      <c r="D1120" s="56"/>
      <c r="E1120" s="5"/>
      <c r="F1120" s="6"/>
      <c r="G1120" s="57"/>
      <c r="H1120" s="58"/>
    </row>
    <row r="1121" spans="1:771 1026:1795 2050:2819 3074:3843 4098:4867 5122:5891 6146:6915 7170:7939 8194:8963 9218:9987 10242:11011 11266:12035 12290:13059 13314:14083 14338:15107 15362:16131" s="59" customFormat="1" ht="31.8" thickBot="1" x14ac:dyDescent="0.35">
      <c r="A1121" s="154"/>
      <c r="B1121" s="155" t="s">
        <v>26</v>
      </c>
      <c r="C1121" s="156"/>
      <c r="D1121" s="154"/>
      <c r="E1121" s="157"/>
      <c r="F1121" s="158"/>
      <c r="G1121" s="159">
        <f>SUM(G1115:G1120)/2</f>
        <v>186300380</v>
      </c>
      <c r="H1121" s="160"/>
      <c r="IX1121" s="35"/>
      <c r="IY1121" s="35"/>
      <c r="ST1121" s="35"/>
      <c r="SU1121" s="35"/>
      <c r="ACP1121" s="35"/>
      <c r="ACQ1121" s="35"/>
      <c r="AML1121" s="35"/>
      <c r="AMM1121" s="35"/>
      <c r="AWH1121" s="35"/>
      <c r="AWI1121" s="35"/>
      <c r="BGD1121" s="35"/>
      <c r="BGE1121" s="35"/>
      <c r="BPZ1121" s="35"/>
      <c r="BQA1121" s="35"/>
      <c r="BZV1121" s="35"/>
      <c r="BZW1121" s="35"/>
      <c r="CJR1121" s="35"/>
      <c r="CJS1121" s="35"/>
      <c r="CTN1121" s="35"/>
      <c r="CTO1121" s="35"/>
      <c r="DDJ1121" s="35"/>
      <c r="DDK1121" s="35"/>
      <c r="DNF1121" s="35"/>
      <c r="DNG1121" s="35"/>
      <c r="DXB1121" s="35"/>
      <c r="DXC1121" s="35"/>
      <c r="EGX1121" s="35"/>
      <c r="EGY1121" s="35"/>
      <c r="EQT1121" s="35"/>
      <c r="EQU1121" s="35"/>
      <c r="FAP1121" s="35"/>
      <c r="FAQ1121" s="35"/>
      <c r="FKL1121" s="35"/>
      <c r="FKM1121" s="35"/>
      <c r="FUH1121" s="35"/>
      <c r="FUI1121" s="35"/>
      <c r="GED1121" s="35"/>
      <c r="GEE1121" s="35"/>
      <c r="GNZ1121" s="35"/>
      <c r="GOA1121" s="35"/>
      <c r="GXV1121" s="35"/>
      <c r="GXW1121" s="35"/>
      <c r="HHR1121" s="35"/>
      <c r="HHS1121" s="35"/>
      <c r="HRN1121" s="35"/>
      <c r="HRO1121" s="35"/>
      <c r="IBJ1121" s="35"/>
      <c r="IBK1121" s="35"/>
      <c r="ILF1121" s="35"/>
      <c r="ILG1121" s="35"/>
      <c r="IVB1121" s="35"/>
      <c r="IVC1121" s="35"/>
      <c r="JEX1121" s="35"/>
      <c r="JEY1121" s="35"/>
      <c r="JOT1121" s="35"/>
      <c r="JOU1121" s="35"/>
      <c r="JYP1121" s="35"/>
      <c r="JYQ1121" s="35"/>
      <c r="KIL1121" s="35"/>
      <c r="KIM1121" s="35"/>
      <c r="KSH1121" s="35"/>
      <c r="KSI1121" s="35"/>
      <c r="LCD1121" s="35"/>
      <c r="LCE1121" s="35"/>
      <c r="LLZ1121" s="35"/>
      <c r="LMA1121" s="35"/>
      <c r="LVV1121" s="35"/>
      <c r="LVW1121" s="35"/>
      <c r="MFR1121" s="35"/>
      <c r="MFS1121" s="35"/>
      <c r="MPN1121" s="35"/>
      <c r="MPO1121" s="35"/>
      <c r="MZJ1121" s="35"/>
      <c r="MZK1121" s="35"/>
      <c r="NJF1121" s="35"/>
      <c r="NJG1121" s="35"/>
      <c r="NTB1121" s="35"/>
      <c r="NTC1121" s="35"/>
      <c r="OCX1121" s="35"/>
      <c r="OCY1121" s="35"/>
      <c r="OMT1121" s="35"/>
      <c r="OMU1121" s="35"/>
      <c r="OWP1121" s="35"/>
      <c r="OWQ1121" s="35"/>
      <c r="PGL1121" s="35"/>
      <c r="PGM1121" s="35"/>
      <c r="PQH1121" s="35"/>
      <c r="PQI1121" s="35"/>
      <c r="QAD1121" s="35"/>
      <c r="QAE1121" s="35"/>
      <c r="QJZ1121" s="35"/>
      <c r="QKA1121" s="35"/>
      <c r="QTV1121" s="35"/>
      <c r="QTW1121" s="35"/>
      <c r="RDR1121" s="35"/>
      <c r="RDS1121" s="35"/>
      <c r="RNN1121" s="35"/>
      <c r="RNO1121" s="35"/>
      <c r="RXJ1121" s="35"/>
      <c r="RXK1121" s="35"/>
      <c r="SHF1121" s="35"/>
      <c r="SHG1121" s="35"/>
      <c r="SRB1121" s="35"/>
      <c r="SRC1121" s="35"/>
      <c r="TAX1121" s="35"/>
      <c r="TAY1121" s="35"/>
      <c r="TKT1121" s="35"/>
      <c r="TKU1121" s="35"/>
      <c r="TUP1121" s="35"/>
      <c r="TUQ1121" s="35"/>
      <c r="UEL1121" s="35"/>
      <c r="UEM1121" s="35"/>
      <c r="UOH1121" s="35"/>
      <c r="UOI1121" s="35"/>
      <c r="UYD1121" s="35"/>
      <c r="UYE1121" s="35"/>
      <c r="VHZ1121" s="35"/>
      <c r="VIA1121" s="35"/>
      <c r="VRV1121" s="35"/>
      <c r="VRW1121" s="35"/>
      <c r="WBR1121" s="35"/>
      <c r="WBS1121" s="35"/>
      <c r="WLN1121" s="35"/>
      <c r="WLO1121" s="35"/>
      <c r="WVJ1121" s="35"/>
      <c r="WVK1121" s="35"/>
    </row>
    <row r="1122" spans="1:771 1026:1795 2050:2819 3074:3843 4098:4867 5122:5891 6146:6915 7170:7939 8194:8963 9218:9987 10242:11011 11266:12035 12290:13059 13314:14083 14338:15107 15362:16131" s="35" customFormat="1" ht="55.2" x14ac:dyDescent="0.3">
      <c r="A1122" s="28">
        <v>104</v>
      </c>
      <c r="B1122" s="29" t="s">
        <v>878</v>
      </c>
      <c r="C1122" s="30" t="s">
        <v>882</v>
      </c>
      <c r="D1122" s="31" t="s">
        <v>13</v>
      </c>
      <c r="E1122" s="32">
        <v>7.9</v>
      </c>
      <c r="F1122" s="33"/>
      <c r="G1122" s="33"/>
      <c r="H1122" s="34" t="s">
        <v>883</v>
      </c>
    </row>
    <row r="1123" spans="1:771 1026:1795 2050:2819 3074:3843 4098:4867 5122:5891 6146:6915 7170:7939 8194:8963 9218:9987 10242:11011 11266:12035 12290:13059 13314:14083 14338:15107 15362:16131" s="35" customFormat="1" x14ac:dyDescent="0.3">
      <c r="A1123" s="36"/>
      <c r="B1123" s="72" t="s">
        <v>879</v>
      </c>
      <c r="C1123" s="38" t="s">
        <v>14</v>
      </c>
      <c r="D1123" s="39"/>
      <c r="E1123" s="44"/>
      <c r="F1123" s="40"/>
      <c r="G1123" s="41">
        <f>SUM(G1124)</f>
        <v>153884100</v>
      </c>
      <c r="H1123" s="42"/>
    </row>
    <row r="1124" spans="1:771 1026:1795 2050:2819 3074:3843 4098:4867 5122:5891 6146:6915 7170:7939 8194:8963 9218:9987 10242:11011 11266:12035 12290:13059 13314:14083 14338:15107 15362:16131" s="35" customFormat="1" ht="78" x14ac:dyDescent="0.3">
      <c r="A1124" s="36"/>
      <c r="B1124" s="72" t="s">
        <v>880</v>
      </c>
      <c r="C1124" s="48" t="s">
        <v>38</v>
      </c>
      <c r="D1124" s="39" t="s">
        <v>13</v>
      </c>
      <c r="E1124" s="44">
        <v>7.9</v>
      </c>
      <c r="F1124" s="161">
        <v>19479000</v>
      </c>
      <c r="G1124" s="40">
        <f>E1124*F1124</f>
        <v>153884100</v>
      </c>
      <c r="H1124" s="42"/>
    </row>
    <row r="1125" spans="1:771 1026:1795 2050:2819 3074:3843 4098:4867 5122:5891 6146:6915 7170:7939 8194:8963 9218:9987 10242:11011 11266:12035 12290:13059 13314:14083 14338:15107 15362:16131" s="35" customFormat="1" x14ac:dyDescent="0.3">
      <c r="A1125" s="36"/>
      <c r="B1125" s="72" t="s">
        <v>881</v>
      </c>
      <c r="C1125" s="47" t="s">
        <v>35</v>
      </c>
      <c r="D1125" s="39"/>
      <c r="E1125" s="73"/>
      <c r="F1125" s="40"/>
      <c r="G1125" s="41">
        <f>SUM(G1126)</f>
        <v>28736000</v>
      </c>
      <c r="H1125" s="45"/>
    </row>
    <row r="1126" spans="1:771 1026:1795 2050:2819 3074:3843 4098:4867 5122:5891 6146:6915 7170:7939 8194:8963 9218:9987 10242:11011 11266:12035 12290:13059 13314:14083 14338:15107 15362:16131" s="35" customFormat="1" ht="82.8" x14ac:dyDescent="0.3">
      <c r="A1126" s="36"/>
      <c r="B1126" s="72"/>
      <c r="C1126" s="101" t="s">
        <v>884</v>
      </c>
      <c r="D1126" s="39" t="s">
        <v>234</v>
      </c>
      <c r="E1126" s="73">
        <f>2*4</f>
        <v>8</v>
      </c>
      <c r="F1126" s="74">
        <v>3592000</v>
      </c>
      <c r="G1126" s="40">
        <f>E1126*F1126</f>
        <v>28736000</v>
      </c>
      <c r="H1126" s="45" t="s">
        <v>2460</v>
      </c>
    </row>
    <row r="1127" spans="1:771 1026:1795 2050:2819 3074:3843 4098:4867 5122:5891 6146:6915 7170:7939 8194:8963 9218:9987 10242:11011 11266:12035 12290:13059 13314:14083 14338:15107 15362:16131" s="35" customFormat="1" ht="65.400000000000006" thickBot="1" x14ac:dyDescent="0.35">
      <c r="A1127" s="53"/>
      <c r="B1127" s="54"/>
      <c r="C1127" s="55" t="s">
        <v>2331</v>
      </c>
      <c r="D1127" s="56"/>
      <c r="E1127" s="5"/>
      <c r="F1127" s="6"/>
      <c r="G1127" s="57"/>
      <c r="H1127" s="58"/>
    </row>
    <row r="1128" spans="1:771 1026:1795 2050:2819 3074:3843 4098:4867 5122:5891 6146:6915 7170:7939 8194:8963 9218:9987 10242:11011 11266:12035 12290:13059 13314:14083 14338:15107 15362:16131" s="59" customFormat="1" ht="31.8" thickBot="1" x14ac:dyDescent="0.35">
      <c r="A1128" s="154"/>
      <c r="B1128" s="155" t="s">
        <v>26</v>
      </c>
      <c r="C1128" s="156"/>
      <c r="D1128" s="154"/>
      <c r="E1128" s="157"/>
      <c r="F1128" s="158"/>
      <c r="G1128" s="159">
        <f>SUM(G1122:G1127)/2</f>
        <v>182620100</v>
      </c>
      <c r="H1128" s="160"/>
      <c r="IX1128" s="35"/>
      <c r="IY1128" s="35"/>
      <c r="ST1128" s="35"/>
      <c r="SU1128" s="35"/>
      <c r="ACP1128" s="35"/>
      <c r="ACQ1128" s="35"/>
      <c r="AML1128" s="35"/>
      <c r="AMM1128" s="35"/>
      <c r="AWH1128" s="35"/>
      <c r="AWI1128" s="35"/>
      <c r="BGD1128" s="35"/>
      <c r="BGE1128" s="35"/>
      <c r="BPZ1128" s="35"/>
      <c r="BQA1128" s="35"/>
      <c r="BZV1128" s="35"/>
      <c r="BZW1128" s="35"/>
      <c r="CJR1128" s="35"/>
      <c r="CJS1128" s="35"/>
      <c r="CTN1128" s="35"/>
      <c r="CTO1128" s="35"/>
      <c r="DDJ1128" s="35"/>
      <c r="DDK1128" s="35"/>
      <c r="DNF1128" s="35"/>
      <c r="DNG1128" s="35"/>
      <c r="DXB1128" s="35"/>
      <c r="DXC1128" s="35"/>
      <c r="EGX1128" s="35"/>
      <c r="EGY1128" s="35"/>
      <c r="EQT1128" s="35"/>
      <c r="EQU1128" s="35"/>
      <c r="FAP1128" s="35"/>
      <c r="FAQ1128" s="35"/>
      <c r="FKL1128" s="35"/>
      <c r="FKM1128" s="35"/>
      <c r="FUH1128" s="35"/>
      <c r="FUI1128" s="35"/>
      <c r="GED1128" s="35"/>
      <c r="GEE1128" s="35"/>
      <c r="GNZ1128" s="35"/>
      <c r="GOA1128" s="35"/>
      <c r="GXV1128" s="35"/>
      <c r="GXW1128" s="35"/>
      <c r="HHR1128" s="35"/>
      <c r="HHS1128" s="35"/>
      <c r="HRN1128" s="35"/>
      <c r="HRO1128" s="35"/>
      <c r="IBJ1128" s="35"/>
      <c r="IBK1128" s="35"/>
      <c r="ILF1128" s="35"/>
      <c r="ILG1128" s="35"/>
      <c r="IVB1128" s="35"/>
      <c r="IVC1128" s="35"/>
      <c r="JEX1128" s="35"/>
      <c r="JEY1128" s="35"/>
      <c r="JOT1128" s="35"/>
      <c r="JOU1128" s="35"/>
      <c r="JYP1128" s="35"/>
      <c r="JYQ1128" s="35"/>
      <c r="KIL1128" s="35"/>
      <c r="KIM1128" s="35"/>
      <c r="KSH1128" s="35"/>
      <c r="KSI1128" s="35"/>
      <c r="LCD1128" s="35"/>
      <c r="LCE1128" s="35"/>
      <c r="LLZ1128" s="35"/>
      <c r="LMA1128" s="35"/>
      <c r="LVV1128" s="35"/>
      <c r="LVW1128" s="35"/>
      <c r="MFR1128" s="35"/>
      <c r="MFS1128" s="35"/>
      <c r="MPN1128" s="35"/>
      <c r="MPO1128" s="35"/>
      <c r="MZJ1128" s="35"/>
      <c r="MZK1128" s="35"/>
      <c r="NJF1128" s="35"/>
      <c r="NJG1128" s="35"/>
      <c r="NTB1128" s="35"/>
      <c r="NTC1128" s="35"/>
      <c r="OCX1128" s="35"/>
      <c r="OCY1128" s="35"/>
      <c r="OMT1128" s="35"/>
      <c r="OMU1128" s="35"/>
      <c r="OWP1128" s="35"/>
      <c r="OWQ1128" s="35"/>
      <c r="PGL1128" s="35"/>
      <c r="PGM1128" s="35"/>
      <c r="PQH1128" s="35"/>
      <c r="PQI1128" s="35"/>
      <c r="QAD1128" s="35"/>
      <c r="QAE1128" s="35"/>
      <c r="QJZ1128" s="35"/>
      <c r="QKA1128" s="35"/>
      <c r="QTV1128" s="35"/>
      <c r="QTW1128" s="35"/>
      <c r="RDR1128" s="35"/>
      <c r="RDS1128" s="35"/>
      <c r="RNN1128" s="35"/>
      <c r="RNO1128" s="35"/>
      <c r="RXJ1128" s="35"/>
      <c r="RXK1128" s="35"/>
      <c r="SHF1128" s="35"/>
      <c r="SHG1128" s="35"/>
      <c r="SRB1128" s="35"/>
      <c r="SRC1128" s="35"/>
      <c r="TAX1128" s="35"/>
      <c r="TAY1128" s="35"/>
      <c r="TKT1128" s="35"/>
      <c r="TKU1128" s="35"/>
      <c r="TUP1128" s="35"/>
      <c r="TUQ1128" s="35"/>
      <c r="UEL1128" s="35"/>
      <c r="UEM1128" s="35"/>
      <c r="UOH1128" s="35"/>
      <c r="UOI1128" s="35"/>
      <c r="UYD1128" s="35"/>
      <c r="UYE1128" s="35"/>
      <c r="VHZ1128" s="35"/>
      <c r="VIA1128" s="35"/>
      <c r="VRV1128" s="35"/>
      <c r="VRW1128" s="35"/>
      <c r="WBR1128" s="35"/>
      <c r="WBS1128" s="35"/>
      <c r="WLN1128" s="35"/>
      <c r="WLO1128" s="35"/>
      <c r="WVJ1128" s="35"/>
      <c r="WVK1128" s="35"/>
    </row>
    <row r="1129" spans="1:771 1026:1795 2050:2819 3074:3843 4098:4867 5122:5891 6146:6915 7170:7939 8194:8963 9218:9987 10242:11011 11266:12035 12290:13059 13314:14083 14338:15107 15362:16131" s="35" customFormat="1" ht="55.2" x14ac:dyDescent="0.3">
      <c r="A1129" s="28">
        <v>105</v>
      </c>
      <c r="B1129" s="29" t="s">
        <v>885</v>
      </c>
      <c r="C1129" s="30" t="s">
        <v>2145</v>
      </c>
      <c r="D1129" s="31" t="s">
        <v>13</v>
      </c>
      <c r="E1129" s="32">
        <v>10</v>
      </c>
      <c r="F1129" s="33"/>
      <c r="G1129" s="33"/>
      <c r="H1129" s="34" t="s">
        <v>2146</v>
      </c>
    </row>
    <row r="1130" spans="1:771 1026:1795 2050:2819 3074:3843 4098:4867 5122:5891 6146:6915 7170:7939 8194:8963 9218:9987 10242:11011 11266:12035 12290:13059 13314:14083 14338:15107 15362:16131" s="35" customFormat="1" x14ac:dyDescent="0.3">
      <c r="A1130" s="36"/>
      <c r="B1130" s="72" t="s">
        <v>326</v>
      </c>
      <c r="C1130" s="38" t="s">
        <v>14</v>
      </c>
      <c r="D1130" s="39"/>
      <c r="E1130" s="44"/>
      <c r="F1130" s="40"/>
      <c r="G1130" s="41">
        <f>SUM(G1131)</f>
        <v>104040000</v>
      </c>
      <c r="H1130" s="42"/>
    </row>
    <row r="1131" spans="1:771 1026:1795 2050:2819 3074:3843 4098:4867 5122:5891 6146:6915 7170:7939 8194:8963 9218:9987 10242:11011 11266:12035 12290:13059 13314:14083 14338:15107 15362:16131" s="35" customFormat="1" ht="78" x14ac:dyDescent="0.3">
      <c r="A1131" s="36"/>
      <c r="B1131" s="72" t="s">
        <v>886</v>
      </c>
      <c r="C1131" s="43" t="s">
        <v>55</v>
      </c>
      <c r="D1131" s="39" t="s">
        <v>13</v>
      </c>
      <c r="E1131" s="73">
        <v>10</v>
      </c>
      <c r="F1131" s="153">
        <v>10404000</v>
      </c>
      <c r="G1131" s="40">
        <f>E1131*F1131</f>
        <v>104040000</v>
      </c>
      <c r="H1131" s="42"/>
    </row>
    <row r="1132" spans="1:771 1026:1795 2050:2819 3074:3843 4098:4867 5122:5891 6146:6915 7170:7939 8194:8963 9218:9987 10242:11011 11266:12035 12290:13059 13314:14083 14338:15107 15362:16131" s="35" customFormat="1" x14ac:dyDescent="0.3">
      <c r="A1132" s="36"/>
      <c r="B1132" s="38"/>
      <c r="C1132" s="47" t="s">
        <v>35</v>
      </c>
      <c r="D1132" s="39"/>
      <c r="E1132" s="73"/>
      <c r="F1132" s="40"/>
      <c r="G1132" s="41">
        <f>SUM(G1133:G1134)</f>
        <v>6190000</v>
      </c>
      <c r="H1132" s="45"/>
    </row>
    <row r="1133" spans="1:771 1026:1795 2050:2819 3074:3843 4098:4867 5122:5891 6146:6915 7170:7939 8194:8963 9218:9987 10242:11011 11266:12035 12290:13059 13314:14083 14338:15107 15362:16131" s="35" customFormat="1" x14ac:dyDescent="0.3">
      <c r="A1133" s="36"/>
      <c r="B1133" s="72"/>
      <c r="C1133" s="66" t="s">
        <v>469</v>
      </c>
      <c r="D1133" s="39" t="s">
        <v>234</v>
      </c>
      <c r="E1133" s="73">
        <v>10</v>
      </c>
      <c r="F1133" s="74">
        <v>258000</v>
      </c>
      <c r="G1133" s="40">
        <f>E1133*F1133</f>
        <v>2580000</v>
      </c>
      <c r="H1133" s="45"/>
    </row>
    <row r="1134" spans="1:771 1026:1795 2050:2819 3074:3843 4098:4867 5122:5891 6146:6915 7170:7939 8194:8963 9218:9987 10242:11011 11266:12035 12290:13059 13314:14083 14338:15107 15362:16131" s="35" customFormat="1" x14ac:dyDescent="0.3">
      <c r="A1134" s="36"/>
      <c r="B1134" s="72"/>
      <c r="C1134" s="66" t="s">
        <v>887</v>
      </c>
      <c r="D1134" s="39" t="s">
        <v>234</v>
      </c>
      <c r="E1134" s="73">
        <v>10</v>
      </c>
      <c r="F1134" s="74">
        <v>361000</v>
      </c>
      <c r="G1134" s="40">
        <f>E1134*F1134</f>
        <v>3610000</v>
      </c>
      <c r="H1134" s="45"/>
    </row>
    <row r="1135" spans="1:771 1026:1795 2050:2819 3074:3843 4098:4867 5122:5891 6146:6915 7170:7939 8194:8963 9218:9987 10242:11011 11266:12035 12290:13059 13314:14083 14338:15107 15362:16131" s="35" customFormat="1" x14ac:dyDescent="0.3">
      <c r="A1135" s="36"/>
      <c r="B1135" s="46"/>
      <c r="C1135" s="51" t="s">
        <v>23</v>
      </c>
      <c r="D1135" s="39"/>
      <c r="E1135" s="1"/>
      <c r="F1135" s="2"/>
      <c r="G1135" s="41">
        <f>SUM(G1136:G1137)</f>
        <v>6120000</v>
      </c>
      <c r="H1135" s="52"/>
    </row>
    <row r="1136" spans="1:771 1026:1795 2050:2819 3074:3843 4098:4867 5122:5891 6146:6915 7170:7939 8194:8963 9218:9987 10242:11011 11266:12035 12290:13059 13314:14083 14338:15107 15362:16131" s="35" customFormat="1" x14ac:dyDescent="0.3">
      <c r="A1136" s="36"/>
      <c r="B1136" s="46"/>
      <c r="C1136" s="50" t="s">
        <v>24</v>
      </c>
      <c r="D1136" s="39" t="s">
        <v>25</v>
      </c>
      <c r="E1136" s="1">
        <f>2*30*6</f>
        <v>360</v>
      </c>
      <c r="F1136" s="2">
        <v>17000</v>
      </c>
      <c r="G1136" s="40">
        <f>E1136*F1136</f>
        <v>6120000</v>
      </c>
      <c r="H1136" s="42"/>
    </row>
    <row r="1137" spans="1:771 1026:1795 2050:2819 3074:3843 4098:4867 5122:5891 6146:6915 7170:7939 8194:8963 9218:9987 10242:11011 11266:12035 12290:13059 13314:14083 14338:15107 15362:16131" s="35" customFormat="1" ht="65.400000000000006" thickBot="1" x14ac:dyDescent="0.35">
      <c r="A1137" s="53"/>
      <c r="B1137" s="54"/>
      <c r="C1137" s="55" t="s">
        <v>2331</v>
      </c>
      <c r="D1137" s="56"/>
      <c r="E1137" s="5"/>
      <c r="F1137" s="6"/>
      <c r="G1137" s="57"/>
      <c r="H1137" s="58"/>
    </row>
    <row r="1138" spans="1:771 1026:1795 2050:2819 3074:3843 4098:4867 5122:5891 6146:6915 7170:7939 8194:8963 9218:9987 10242:11011 11266:12035 12290:13059 13314:14083 14338:15107 15362:16131" s="59" customFormat="1" ht="31.8" thickBot="1" x14ac:dyDescent="0.35">
      <c r="A1138" s="154"/>
      <c r="B1138" s="155" t="s">
        <v>26</v>
      </c>
      <c r="C1138" s="156"/>
      <c r="D1138" s="154"/>
      <c r="E1138" s="157"/>
      <c r="F1138" s="158"/>
      <c r="G1138" s="159">
        <f>SUM(G1129:G1137)/2</f>
        <v>116350000</v>
      </c>
      <c r="H1138" s="160"/>
      <c r="IX1138" s="35"/>
      <c r="IY1138" s="35"/>
      <c r="ST1138" s="35"/>
      <c r="SU1138" s="35"/>
      <c r="ACP1138" s="35"/>
      <c r="ACQ1138" s="35"/>
      <c r="AML1138" s="35"/>
      <c r="AMM1138" s="35"/>
      <c r="AWH1138" s="35"/>
      <c r="AWI1138" s="35"/>
      <c r="BGD1138" s="35"/>
      <c r="BGE1138" s="35"/>
      <c r="BPZ1138" s="35"/>
      <c r="BQA1138" s="35"/>
      <c r="BZV1138" s="35"/>
      <c r="BZW1138" s="35"/>
      <c r="CJR1138" s="35"/>
      <c r="CJS1138" s="35"/>
      <c r="CTN1138" s="35"/>
      <c r="CTO1138" s="35"/>
      <c r="DDJ1138" s="35"/>
      <c r="DDK1138" s="35"/>
      <c r="DNF1138" s="35"/>
      <c r="DNG1138" s="35"/>
      <c r="DXB1138" s="35"/>
      <c r="DXC1138" s="35"/>
      <c r="EGX1138" s="35"/>
      <c r="EGY1138" s="35"/>
      <c r="EQT1138" s="35"/>
      <c r="EQU1138" s="35"/>
      <c r="FAP1138" s="35"/>
      <c r="FAQ1138" s="35"/>
      <c r="FKL1138" s="35"/>
      <c r="FKM1138" s="35"/>
      <c r="FUH1138" s="35"/>
      <c r="FUI1138" s="35"/>
      <c r="GED1138" s="35"/>
      <c r="GEE1138" s="35"/>
      <c r="GNZ1138" s="35"/>
      <c r="GOA1138" s="35"/>
      <c r="GXV1138" s="35"/>
      <c r="GXW1138" s="35"/>
      <c r="HHR1138" s="35"/>
      <c r="HHS1138" s="35"/>
      <c r="HRN1138" s="35"/>
      <c r="HRO1138" s="35"/>
      <c r="IBJ1138" s="35"/>
      <c r="IBK1138" s="35"/>
      <c r="ILF1138" s="35"/>
      <c r="ILG1138" s="35"/>
      <c r="IVB1138" s="35"/>
      <c r="IVC1138" s="35"/>
      <c r="JEX1138" s="35"/>
      <c r="JEY1138" s="35"/>
      <c r="JOT1138" s="35"/>
      <c r="JOU1138" s="35"/>
      <c r="JYP1138" s="35"/>
      <c r="JYQ1138" s="35"/>
      <c r="KIL1138" s="35"/>
      <c r="KIM1138" s="35"/>
      <c r="KSH1138" s="35"/>
      <c r="KSI1138" s="35"/>
      <c r="LCD1138" s="35"/>
      <c r="LCE1138" s="35"/>
      <c r="LLZ1138" s="35"/>
      <c r="LMA1138" s="35"/>
      <c r="LVV1138" s="35"/>
      <c r="LVW1138" s="35"/>
      <c r="MFR1138" s="35"/>
      <c r="MFS1138" s="35"/>
      <c r="MPN1138" s="35"/>
      <c r="MPO1138" s="35"/>
      <c r="MZJ1138" s="35"/>
      <c r="MZK1138" s="35"/>
      <c r="NJF1138" s="35"/>
      <c r="NJG1138" s="35"/>
      <c r="NTB1138" s="35"/>
      <c r="NTC1138" s="35"/>
      <c r="OCX1138" s="35"/>
      <c r="OCY1138" s="35"/>
      <c r="OMT1138" s="35"/>
      <c r="OMU1138" s="35"/>
      <c r="OWP1138" s="35"/>
      <c r="OWQ1138" s="35"/>
      <c r="PGL1138" s="35"/>
      <c r="PGM1138" s="35"/>
      <c r="PQH1138" s="35"/>
      <c r="PQI1138" s="35"/>
      <c r="QAD1138" s="35"/>
      <c r="QAE1138" s="35"/>
      <c r="QJZ1138" s="35"/>
      <c r="QKA1138" s="35"/>
      <c r="QTV1138" s="35"/>
      <c r="QTW1138" s="35"/>
      <c r="RDR1138" s="35"/>
      <c r="RDS1138" s="35"/>
      <c r="RNN1138" s="35"/>
      <c r="RNO1138" s="35"/>
      <c r="RXJ1138" s="35"/>
      <c r="RXK1138" s="35"/>
      <c r="SHF1138" s="35"/>
      <c r="SHG1138" s="35"/>
      <c r="SRB1138" s="35"/>
      <c r="SRC1138" s="35"/>
      <c r="TAX1138" s="35"/>
      <c r="TAY1138" s="35"/>
      <c r="TKT1138" s="35"/>
      <c r="TKU1138" s="35"/>
      <c r="TUP1138" s="35"/>
      <c r="TUQ1138" s="35"/>
      <c r="UEL1138" s="35"/>
      <c r="UEM1138" s="35"/>
      <c r="UOH1138" s="35"/>
      <c r="UOI1138" s="35"/>
      <c r="UYD1138" s="35"/>
      <c r="UYE1138" s="35"/>
      <c r="VHZ1138" s="35"/>
      <c r="VIA1138" s="35"/>
      <c r="VRV1138" s="35"/>
      <c r="VRW1138" s="35"/>
      <c r="WBR1138" s="35"/>
      <c r="WBS1138" s="35"/>
      <c r="WLN1138" s="35"/>
      <c r="WLO1138" s="35"/>
      <c r="WVJ1138" s="35"/>
      <c r="WVK1138" s="35"/>
    </row>
    <row r="1139" spans="1:771 1026:1795 2050:2819 3074:3843 4098:4867 5122:5891 6146:6915 7170:7939 8194:8963 9218:9987 10242:11011 11266:12035 12290:13059 13314:14083 14338:15107 15362:16131" s="166" customFormat="1" ht="55.2" x14ac:dyDescent="0.25">
      <c r="A1139" s="164">
        <v>106</v>
      </c>
      <c r="B1139" s="180" t="s">
        <v>888</v>
      </c>
      <c r="C1139" s="78" t="s">
        <v>2132</v>
      </c>
      <c r="D1139" s="79" t="s">
        <v>13</v>
      </c>
      <c r="E1139" s="80">
        <v>10</v>
      </c>
      <c r="F1139" s="81"/>
      <c r="G1139" s="33"/>
      <c r="H1139" s="34" t="s">
        <v>2133</v>
      </c>
    </row>
    <row r="1140" spans="1:771 1026:1795 2050:2819 3074:3843 4098:4867 5122:5891 6146:6915 7170:7939 8194:8963 9218:9987 10242:11011 11266:12035 12290:13059 13314:14083 14338:15107 15362:16131" s="166" customFormat="1" x14ac:dyDescent="0.25">
      <c r="A1140" s="167"/>
      <c r="B1140" s="169" t="s">
        <v>889</v>
      </c>
      <c r="C1140" s="38" t="s">
        <v>14</v>
      </c>
      <c r="D1140" s="76"/>
      <c r="E1140" s="73"/>
      <c r="F1140" s="74"/>
      <c r="G1140" s="41">
        <f>SUM(G1141:G1143)</f>
        <v>761628900</v>
      </c>
      <c r="H1140" s="42"/>
    </row>
    <row r="1141" spans="1:771 1026:1795 2050:2819 3074:3843 4098:4867 5122:5891 6146:6915 7170:7939 8194:8963 9218:9987 10242:11011 11266:12035 12290:13059 13314:14083 14338:15107 15362:16131" s="166" customFormat="1" ht="78" x14ac:dyDescent="0.3">
      <c r="A1141" s="167"/>
      <c r="B1141" s="72" t="s">
        <v>886</v>
      </c>
      <c r="C1141" s="48" t="s">
        <v>38</v>
      </c>
      <c r="D1141" s="76" t="s">
        <v>13</v>
      </c>
      <c r="E1141" s="73">
        <v>10</v>
      </c>
      <c r="F1141" s="161">
        <v>19479000</v>
      </c>
      <c r="G1141" s="40">
        <f>E1141*F1141</f>
        <v>194790000</v>
      </c>
      <c r="H1141" s="42"/>
    </row>
    <row r="1142" spans="1:771 1026:1795 2050:2819 3074:3843 4098:4867 5122:5891 6146:6915 7170:7939 8194:8963 9218:9987 10242:11011 11266:12035 12290:13059 13314:14083 14338:15107 15362:16131" s="35" customFormat="1" ht="55.2" x14ac:dyDescent="0.3">
      <c r="A1142" s="36"/>
      <c r="B1142" s="70"/>
      <c r="C1142" s="48" t="s">
        <v>2319</v>
      </c>
      <c r="D1142" s="39"/>
      <c r="E1142" s="44">
        <v>29.1</v>
      </c>
      <c r="F1142" s="40"/>
      <c r="G1142" s="40"/>
      <c r="H1142" s="42" t="s">
        <v>1789</v>
      </c>
    </row>
    <row r="1143" spans="1:771 1026:1795 2050:2819 3074:3843 4098:4867 5122:5891 6146:6915 7170:7939 8194:8963 9218:9987 10242:11011 11266:12035 12290:13059 13314:14083 14338:15107 15362:16131" s="35" customFormat="1" x14ac:dyDescent="0.3">
      <c r="A1143" s="36"/>
      <c r="B1143" s="37"/>
      <c r="C1143" s="48" t="s">
        <v>38</v>
      </c>
      <c r="D1143" s="39" t="s">
        <v>891</v>
      </c>
      <c r="E1143" s="44">
        <v>29.1</v>
      </c>
      <c r="F1143" s="161">
        <v>19479000</v>
      </c>
      <c r="G1143" s="40">
        <f>E1143*F1143</f>
        <v>566838900</v>
      </c>
      <c r="H1143" s="42"/>
    </row>
    <row r="1144" spans="1:771 1026:1795 2050:2819 3074:3843 4098:4867 5122:5891 6146:6915 7170:7939 8194:8963 9218:9987 10242:11011 11266:12035 12290:13059 13314:14083 14338:15107 15362:16131" s="166" customFormat="1" x14ac:dyDescent="0.25">
      <c r="A1144" s="167"/>
      <c r="B1144" s="169"/>
      <c r="C1144" s="47" t="s">
        <v>35</v>
      </c>
      <c r="D1144" s="76"/>
      <c r="E1144" s="73"/>
      <c r="F1144" s="74"/>
      <c r="G1144" s="41">
        <f>SUM(G1145:G1152)</f>
        <v>35339040</v>
      </c>
      <c r="H1144" s="45"/>
    </row>
    <row r="1145" spans="1:771 1026:1795 2050:2819 3074:3843 4098:4867 5122:5891 6146:6915 7170:7939 8194:8963 9218:9987 10242:11011 11266:12035 12290:13059 13314:14083 14338:15107 15362:16131" s="166" customFormat="1" x14ac:dyDescent="0.25">
      <c r="A1145" s="167"/>
      <c r="B1145" s="169"/>
      <c r="C1145" s="66" t="s">
        <v>890</v>
      </c>
      <c r="D1145" s="76" t="s">
        <v>891</v>
      </c>
      <c r="E1145" s="73">
        <f>2*5</f>
        <v>10</v>
      </c>
      <c r="F1145" s="74">
        <v>258000</v>
      </c>
      <c r="G1145" s="40">
        <f t="shared" ref="G1145:G1152" si="18">E1145*F1145</f>
        <v>2580000</v>
      </c>
      <c r="H1145" s="45"/>
    </row>
    <row r="1146" spans="1:771 1026:1795 2050:2819 3074:3843 4098:4867 5122:5891 6146:6915 7170:7939 8194:8963 9218:9987 10242:11011 11266:12035 12290:13059 13314:14083 14338:15107 15362:16131" s="35" customFormat="1" ht="93.6" x14ac:dyDescent="0.3">
      <c r="A1146" s="36"/>
      <c r="B1146" s="50" t="s">
        <v>1790</v>
      </c>
      <c r="C1146" s="66" t="s">
        <v>1791</v>
      </c>
      <c r="D1146" s="39"/>
      <c r="E1146" s="44"/>
      <c r="F1146" s="40"/>
      <c r="G1146" s="40">
        <f t="shared" si="18"/>
        <v>0</v>
      </c>
      <c r="H1146" s="42"/>
    </row>
    <row r="1147" spans="1:771 1026:1795 2050:2819 3074:3843 4098:4867 5122:5891 6146:6915 7170:7939 8194:8963 9218:9987 10242:11011 11266:12035 12290:13059 13314:14083 14338:15107 15362:16131" s="35" customFormat="1" x14ac:dyDescent="0.3">
      <c r="A1147" s="36"/>
      <c r="B1147" s="46"/>
      <c r="C1147" s="48" t="s">
        <v>15</v>
      </c>
      <c r="D1147" s="39"/>
      <c r="E1147" s="50"/>
      <c r="F1147" s="49"/>
      <c r="G1147" s="40">
        <f t="shared" si="18"/>
        <v>0</v>
      </c>
      <c r="H1147" s="45"/>
    </row>
    <row r="1148" spans="1:771 1026:1795 2050:2819 3074:3843 4098:4867 5122:5891 6146:6915 7170:7939 8194:8963 9218:9987 10242:11011 11266:12035 12290:13059 13314:14083 14338:15107 15362:16131" s="35" customFormat="1" ht="41.4" x14ac:dyDescent="0.3">
      <c r="A1148" s="36"/>
      <c r="B1148" s="46"/>
      <c r="C1148" s="48" t="s">
        <v>1775</v>
      </c>
      <c r="D1148" s="39" t="s">
        <v>13</v>
      </c>
      <c r="E1148" s="50">
        <f>(2*5.7)-(0.2+0.6)*5.7*0.5</f>
        <v>9.120000000000001</v>
      </c>
      <c r="F1148" s="49">
        <v>3592000</v>
      </c>
      <c r="G1148" s="40">
        <f t="shared" si="18"/>
        <v>32759040.000000004</v>
      </c>
      <c r="H1148" s="45" t="s">
        <v>2461</v>
      </c>
    </row>
    <row r="1149" spans="1:771 1026:1795 2050:2819 3074:3843 4098:4867 5122:5891 6146:6915 7170:7939 8194:8963 9218:9987 10242:11011 11266:12035 12290:13059 13314:14083 14338:15107 15362:16131" s="35" customFormat="1" ht="93.6" x14ac:dyDescent="0.3">
      <c r="A1149" s="36"/>
      <c r="B1149" s="46"/>
      <c r="C1149" s="66" t="s">
        <v>1792</v>
      </c>
      <c r="D1149" s="39"/>
      <c r="E1149" s="50"/>
      <c r="F1149" s="49"/>
      <c r="G1149" s="40">
        <f t="shared" si="18"/>
        <v>0</v>
      </c>
      <c r="H1149" s="45"/>
    </row>
    <row r="1150" spans="1:771 1026:1795 2050:2819 3074:3843 4098:4867 5122:5891 6146:6915 7170:7939 8194:8963 9218:9987 10242:11011 11266:12035 12290:13059 13314:14083 14338:15107 15362:16131" s="35" customFormat="1" x14ac:dyDescent="0.3">
      <c r="A1150" s="36"/>
      <c r="B1150" s="50"/>
      <c r="C1150" s="48" t="s">
        <v>15</v>
      </c>
      <c r="D1150" s="39"/>
      <c r="E1150" s="44"/>
      <c r="F1150" s="40"/>
      <c r="G1150" s="40">
        <f t="shared" si="18"/>
        <v>0</v>
      </c>
      <c r="H1150" s="52"/>
    </row>
    <row r="1151" spans="1:771 1026:1795 2050:2819 3074:3843 4098:4867 5122:5891 6146:6915 7170:7939 8194:8963 9218:9987 10242:11011 11266:12035 12290:13059 13314:14083 14338:15107 15362:16131" s="35" customFormat="1" ht="41.4" x14ac:dyDescent="0.3">
      <c r="A1151" s="36"/>
      <c r="B1151" s="46"/>
      <c r="C1151" s="48" t="s">
        <v>1775</v>
      </c>
      <c r="D1151" s="39" t="s">
        <v>13</v>
      </c>
      <c r="E1151" s="44">
        <f>(2+1.5)*4.7*0.5</f>
        <v>8.2249999999999996</v>
      </c>
      <c r="F1151" s="40"/>
      <c r="G1151" s="40">
        <f t="shared" si="18"/>
        <v>0</v>
      </c>
      <c r="H1151" s="45" t="s">
        <v>2462</v>
      </c>
    </row>
    <row r="1152" spans="1:771 1026:1795 2050:2819 3074:3843 4098:4867 5122:5891 6146:6915 7170:7939 8194:8963 9218:9987 10242:11011 11266:12035 12290:13059 13314:14083 14338:15107 15362:16131" s="35" customFormat="1" x14ac:dyDescent="0.3">
      <c r="A1152" s="36"/>
      <c r="B1152" s="46"/>
      <c r="C1152" s="48" t="s">
        <v>1793</v>
      </c>
      <c r="D1152" s="39" t="s">
        <v>106</v>
      </c>
      <c r="E1152" s="44">
        <v>1</v>
      </c>
      <c r="F1152" s="40"/>
      <c r="G1152" s="40">
        <f t="shared" si="18"/>
        <v>0</v>
      </c>
      <c r="H1152" s="52" t="s">
        <v>2352</v>
      </c>
    </row>
    <row r="1153" spans="1:771 1026:1795 2050:2819 3074:3843 4098:4867 5122:5891 6146:6915 7170:7939 8194:8963 9218:9987 10242:11011 11266:12035 12290:13059 13314:14083 14338:15107 15362:16131" s="35" customFormat="1" x14ac:dyDescent="0.3">
      <c r="A1153" s="36"/>
      <c r="B1153" s="46"/>
      <c r="C1153" s="51" t="s">
        <v>20</v>
      </c>
      <c r="D1153" s="39"/>
      <c r="E1153" s="44"/>
      <c r="F1153" s="40"/>
      <c r="G1153" s="41">
        <f>SUM(G1154:G1155)</f>
        <v>40000</v>
      </c>
      <c r="H1153" s="52"/>
    </row>
    <row r="1154" spans="1:771 1026:1795 2050:2819 3074:3843 4098:4867 5122:5891 6146:6915 7170:7939 8194:8963 9218:9987 10242:11011 11266:12035 12290:13059 13314:14083 14338:15107 15362:16131" s="35" customFormat="1" x14ac:dyDescent="0.3">
      <c r="A1154" s="36"/>
      <c r="B1154" s="46"/>
      <c r="C1154" s="48" t="s">
        <v>779</v>
      </c>
      <c r="D1154" s="76" t="s">
        <v>22</v>
      </c>
      <c r="E1154" s="44">
        <v>1</v>
      </c>
      <c r="F1154" s="40">
        <v>40000</v>
      </c>
      <c r="G1154" s="40">
        <f>E1154*F1154</f>
        <v>40000</v>
      </c>
      <c r="H1154" s="52"/>
    </row>
    <row r="1155" spans="1:771 1026:1795 2050:2819 3074:3843 4098:4867 5122:5891 6146:6915 7170:7939 8194:8963 9218:9987 10242:11011 11266:12035 12290:13059 13314:14083 14338:15107 15362:16131" s="35" customFormat="1" ht="65.400000000000006" thickBot="1" x14ac:dyDescent="0.35">
      <c r="A1155" s="53"/>
      <c r="B1155" s="54"/>
      <c r="C1155" s="55" t="s">
        <v>2331</v>
      </c>
      <c r="D1155" s="56"/>
      <c r="E1155" s="5"/>
      <c r="F1155" s="6"/>
      <c r="G1155" s="57"/>
      <c r="H1155" s="58"/>
    </row>
    <row r="1156" spans="1:771 1026:1795 2050:2819 3074:3843 4098:4867 5122:5891 6146:6915 7170:7939 8194:8963 9218:9987 10242:11011 11266:12035 12290:13059 13314:14083 14338:15107 15362:16131" s="59" customFormat="1" ht="31.8" thickBot="1" x14ac:dyDescent="0.35">
      <c r="A1156" s="154"/>
      <c r="B1156" s="155" t="s">
        <v>26</v>
      </c>
      <c r="C1156" s="156"/>
      <c r="D1156" s="154"/>
      <c r="E1156" s="157"/>
      <c r="F1156" s="158"/>
      <c r="G1156" s="159">
        <f>SUM(G1139:G1155)/2</f>
        <v>797007940</v>
      </c>
      <c r="H1156" s="160"/>
      <c r="IX1156" s="35"/>
      <c r="IY1156" s="35"/>
      <c r="ST1156" s="35"/>
      <c r="SU1156" s="35"/>
      <c r="ACP1156" s="35"/>
      <c r="ACQ1156" s="35"/>
      <c r="AML1156" s="35"/>
      <c r="AMM1156" s="35"/>
      <c r="AWH1156" s="35"/>
      <c r="AWI1156" s="35"/>
      <c r="BGD1156" s="35"/>
      <c r="BGE1156" s="35"/>
      <c r="BPZ1156" s="35"/>
      <c r="BQA1156" s="35"/>
      <c r="BZV1156" s="35"/>
      <c r="BZW1156" s="35"/>
      <c r="CJR1156" s="35"/>
      <c r="CJS1156" s="35"/>
      <c r="CTN1156" s="35"/>
      <c r="CTO1156" s="35"/>
      <c r="DDJ1156" s="35"/>
      <c r="DDK1156" s="35"/>
      <c r="DNF1156" s="35"/>
      <c r="DNG1156" s="35"/>
      <c r="DXB1156" s="35"/>
      <c r="DXC1156" s="35"/>
      <c r="EGX1156" s="35"/>
      <c r="EGY1156" s="35"/>
      <c r="EQT1156" s="35"/>
      <c r="EQU1156" s="35"/>
      <c r="FAP1156" s="35"/>
      <c r="FAQ1156" s="35"/>
      <c r="FKL1156" s="35"/>
      <c r="FKM1156" s="35"/>
      <c r="FUH1156" s="35"/>
      <c r="FUI1156" s="35"/>
      <c r="GED1156" s="35"/>
      <c r="GEE1156" s="35"/>
      <c r="GNZ1156" s="35"/>
      <c r="GOA1156" s="35"/>
      <c r="GXV1156" s="35"/>
      <c r="GXW1156" s="35"/>
      <c r="HHR1156" s="35"/>
      <c r="HHS1156" s="35"/>
      <c r="HRN1156" s="35"/>
      <c r="HRO1156" s="35"/>
      <c r="IBJ1156" s="35"/>
      <c r="IBK1156" s="35"/>
      <c r="ILF1156" s="35"/>
      <c r="ILG1156" s="35"/>
      <c r="IVB1156" s="35"/>
      <c r="IVC1156" s="35"/>
      <c r="JEX1156" s="35"/>
      <c r="JEY1156" s="35"/>
      <c r="JOT1156" s="35"/>
      <c r="JOU1156" s="35"/>
      <c r="JYP1156" s="35"/>
      <c r="JYQ1156" s="35"/>
      <c r="KIL1156" s="35"/>
      <c r="KIM1156" s="35"/>
      <c r="KSH1156" s="35"/>
      <c r="KSI1156" s="35"/>
      <c r="LCD1156" s="35"/>
      <c r="LCE1156" s="35"/>
      <c r="LLZ1156" s="35"/>
      <c r="LMA1156" s="35"/>
      <c r="LVV1156" s="35"/>
      <c r="LVW1156" s="35"/>
      <c r="MFR1156" s="35"/>
      <c r="MFS1156" s="35"/>
      <c r="MPN1156" s="35"/>
      <c r="MPO1156" s="35"/>
      <c r="MZJ1156" s="35"/>
      <c r="MZK1156" s="35"/>
      <c r="NJF1156" s="35"/>
      <c r="NJG1156" s="35"/>
      <c r="NTB1156" s="35"/>
      <c r="NTC1156" s="35"/>
      <c r="OCX1156" s="35"/>
      <c r="OCY1156" s="35"/>
      <c r="OMT1156" s="35"/>
      <c r="OMU1156" s="35"/>
      <c r="OWP1156" s="35"/>
      <c r="OWQ1156" s="35"/>
      <c r="PGL1156" s="35"/>
      <c r="PGM1156" s="35"/>
      <c r="PQH1156" s="35"/>
      <c r="PQI1156" s="35"/>
      <c r="QAD1156" s="35"/>
      <c r="QAE1156" s="35"/>
      <c r="QJZ1156" s="35"/>
      <c r="QKA1156" s="35"/>
      <c r="QTV1156" s="35"/>
      <c r="QTW1156" s="35"/>
      <c r="RDR1156" s="35"/>
      <c r="RDS1156" s="35"/>
      <c r="RNN1156" s="35"/>
      <c r="RNO1156" s="35"/>
      <c r="RXJ1156" s="35"/>
      <c r="RXK1156" s="35"/>
      <c r="SHF1156" s="35"/>
      <c r="SHG1156" s="35"/>
      <c r="SRB1156" s="35"/>
      <c r="SRC1156" s="35"/>
      <c r="TAX1156" s="35"/>
      <c r="TAY1156" s="35"/>
      <c r="TKT1156" s="35"/>
      <c r="TKU1156" s="35"/>
      <c r="TUP1156" s="35"/>
      <c r="TUQ1156" s="35"/>
      <c r="UEL1156" s="35"/>
      <c r="UEM1156" s="35"/>
      <c r="UOH1156" s="35"/>
      <c r="UOI1156" s="35"/>
      <c r="UYD1156" s="35"/>
      <c r="UYE1156" s="35"/>
      <c r="VHZ1156" s="35"/>
      <c r="VIA1156" s="35"/>
      <c r="VRV1156" s="35"/>
      <c r="VRW1156" s="35"/>
      <c r="WBR1156" s="35"/>
      <c r="WBS1156" s="35"/>
      <c r="WLN1156" s="35"/>
      <c r="WLO1156" s="35"/>
      <c r="WVJ1156" s="35"/>
      <c r="WVK1156" s="35"/>
    </row>
    <row r="1157" spans="1:771 1026:1795 2050:2819 3074:3843 4098:4867 5122:5891 6146:6915 7170:7939 8194:8963 9218:9987 10242:11011 11266:12035 12290:13059 13314:14083 14338:15107 15362:16131" s="166" customFormat="1" ht="55.2" x14ac:dyDescent="0.25">
      <c r="A1157" s="164">
        <v>107</v>
      </c>
      <c r="B1157" s="181" t="s">
        <v>2143</v>
      </c>
      <c r="C1157" s="78" t="s">
        <v>2141</v>
      </c>
      <c r="D1157" s="79" t="s">
        <v>13</v>
      </c>
      <c r="E1157" s="80">
        <v>20</v>
      </c>
      <c r="F1157" s="81"/>
      <c r="G1157" s="33">
        <f>E1157*F1157</f>
        <v>0</v>
      </c>
      <c r="H1157" s="34" t="s">
        <v>2142</v>
      </c>
    </row>
    <row r="1158" spans="1:771 1026:1795 2050:2819 3074:3843 4098:4867 5122:5891 6146:6915 7170:7939 8194:8963 9218:9987 10242:11011 11266:12035 12290:13059 13314:14083 14338:15107 15362:16131" s="166" customFormat="1" x14ac:dyDescent="0.25">
      <c r="A1158" s="167"/>
      <c r="B1158" s="169" t="s">
        <v>892</v>
      </c>
      <c r="C1158" s="38" t="s">
        <v>14</v>
      </c>
      <c r="D1158" s="76"/>
      <c r="E1158" s="73"/>
      <c r="F1158" s="74"/>
      <c r="G1158" s="41">
        <f>SUM(G1159)</f>
        <v>208080000</v>
      </c>
      <c r="H1158" s="42"/>
    </row>
    <row r="1159" spans="1:771 1026:1795 2050:2819 3074:3843 4098:4867 5122:5891 6146:6915 7170:7939 8194:8963 9218:9987 10242:11011 11266:12035 12290:13059 13314:14083 14338:15107 15362:16131" s="166" customFormat="1" ht="55.2" x14ac:dyDescent="0.25">
      <c r="A1159" s="167"/>
      <c r="B1159" s="168" t="s">
        <v>893</v>
      </c>
      <c r="C1159" s="105" t="s">
        <v>55</v>
      </c>
      <c r="D1159" s="76" t="s">
        <v>13</v>
      </c>
      <c r="E1159" s="73">
        <v>20</v>
      </c>
      <c r="F1159" s="153">
        <v>10404000</v>
      </c>
      <c r="G1159" s="40">
        <f>E1159*F1159</f>
        <v>208080000</v>
      </c>
      <c r="H1159" s="42"/>
    </row>
    <row r="1160" spans="1:771 1026:1795 2050:2819 3074:3843 4098:4867 5122:5891 6146:6915 7170:7939 8194:8963 9218:9987 10242:11011 11266:12035 12290:13059 13314:14083 14338:15107 15362:16131" s="166" customFormat="1" x14ac:dyDescent="0.25">
      <c r="A1160" s="167"/>
      <c r="B1160" s="169" t="s">
        <v>894</v>
      </c>
      <c r="C1160" s="47" t="s">
        <v>35</v>
      </c>
      <c r="D1160" s="76"/>
      <c r="E1160" s="73"/>
      <c r="F1160" s="74"/>
      <c r="G1160" s="41">
        <f>SUM(G1161)</f>
        <v>1444800</v>
      </c>
      <c r="H1160" s="45"/>
    </row>
    <row r="1161" spans="1:771 1026:1795 2050:2819 3074:3843 4098:4867 5122:5891 6146:6915 7170:7939 8194:8963 9218:9987 10242:11011 11266:12035 12290:13059 13314:14083 14338:15107 15362:16131" s="166" customFormat="1" x14ac:dyDescent="0.25">
      <c r="A1161" s="167"/>
      <c r="B1161" s="169"/>
      <c r="C1161" s="66" t="s">
        <v>895</v>
      </c>
      <c r="D1161" s="76" t="s">
        <v>891</v>
      </c>
      <c r="E1161" s="73">
        <f>2.8*2</f>
        <v>5.6</v>
      </c>
      <c r="F1161" s="74">
        <v>258000</v>
      </c>
      <c r="G1161" s="40">
        <f>E1161*F1161</f>
        <v>1444800</v>
      </c>
      <c r="H1161" s="45"/>
    </row>
    <row r="1162" spans="1:771 1026:1795 2050:2819 3074:3843 4098:4867 5122:5891 6146:6915 7170:7939 8194:8963 9218:9987 10242:11011 11266:12035 12290:13059 13314:14083 14338:15107 15362:16131" s="166" customFormat="1" x14ac:dyDescent="0.25">
      <c r="A1162" s="167"/>
      <c r="B1162" s="169"/>
      <c r="C1162" s="51" t="s">
        <v>23</v>
      </c>
      <c r="D1162" s="76"/>
      <c r="E1162" s="3"/>
      <c r="F1162" s="4"/>
      <c r="G1162" s="41">
        <f>SUM(G1163)</f>
        <v>6120000</v>
      </c>
      <c r="H1162" s="52"/>
    </row>
    <row r="1163" spans="1:771 1026:1795 2050:2819 3074:3843 4098:4867 5122:5891 6146:6915 7170:7939 8194:8963 9218:9987 10242:11011 11266:12035 12290:13059 13314:14083 14338:15107 15362:16131" s="166" customFormat="1" x14ac:dyDescent="0.25">
      <c r="A1163" s="167"/>
      <c r="B1163" s="169"/>
      <c r="C1163" s="75" t="s">
        <v>24</v>
      </c>
      <c r="D1163" s="76" t="s">
        <v>25</v>
      </c>
      <c r="E1163" s="3">
        <f>2*30*6</f>
        <v>360</v>
      </c>
      <c r="F1163" s="4">
        <v>17000</v>
      </c>
      <c r="G1163" s="40">
        <f>E1163*F1163</f>
        <v>6120000</v>
      </c>
      <c r="H1163" s="42"/>
    </row>
    <row r="1164" spans="1:771 1026:1795 2050:2819 3074:3843 4098:4867 5122:5891 6146:6915 7170:7939 8194:8963 9218:9987 10242:11011 11266:12035 12290:13059 13314:14083 14338:15107 15362:16131" s="35" customFormat="1" ht="65.400000000000006" thickBot="1" x14ac:dyDescent="0.35">
      <c r="A1164" s="53"/>
      <c r="B1164" s="54"/>
      <c r="C1164" s="55" t="s">
        <v>2331</v>
      </c>
      <c r="D1164" s="56"/>
      <c r="E1164" s="5"/>
      <c r="F1164" s="6"/>
      <c r="G1164" s="57"/>
      <c r="H1164" s="58"/>
    </row>
    <row r="1165" spans="1:771 1026:1795 2050:2819 3074:3843 4098:4867 5122:5891 6146:6915 7170:7939 8194:8963 9218:9987 10242:11011 11266:12035 12290:13059 13314:14083 14338:15107 15362:16131" s="172" customFormat="1" ht="31.8" thickBot="1" x14ac:dyDescent="0.3">
      <c r="A1165" s="154"/>
      <c r="B1165" s="155" t="s">
        <v>26</v>
      </c>
      <c r="C1165" s="156"/>
      <c r="D1165" s="154"/>
      <c r="E1165" s="157"/>
      <c r="F1165" s="158"/>
      <c r="G1165" s="159">
        <f>SUM(G1157:G1164)/2</f>
        <v>215644800</v>
      </c>
      <c r="H1165" s="160"/>
      <c r="IX1165" s="166"/>
      <c r="IY1165" s="166"/>
      <c r="ST1165" s="166"/>
      <c r="SU1165" s="166"/>
      <c r="ACP1165" s="166"/>
      <c r="ACQ1165" s="166"/>
      <c r="AML1165" s="166"/>
      <c r="AMM1165" s="166"/>
      <c r="AWH1165" s="166"/>
      <c r="AWI1165" s="166"/>
      <c r="BGD1165" s="166"/>
      <c r="BGE1165" s="166"/>
      <c r="BPZ1165" s="166"/>
      <c r="BQA1165" s="166"/>
      <c r="BZV1165" s="166"/>
      <c r="BZW1165" s="166"/>
      <c r="CJR1165" s="166"/>
      <c r="CJS1165" s="166"/>
      <c r="CTN1165" s="166"/>
      <c r="CTO1165" s="166"/>
      <c r="DDJ1165" s="166"/>
      <c r="DDK1165" s="166"/>
      <c r="DNF1165" s="166"/>
      <c r="DNG1165" s="166"/>
      <c r="DXB1165" s="166"/>
      <c r="DXC1165" s="166"/>
      <c r="EGX1165" s="166"/>
      <c r="EGY1165" s="166"/>
      <c r="EQT1165" s="166"/>
      <c r="EQU1165" s="166"/>
      <c r="FAP1165" s="166"/>
      <c r="FAQ1165" s="166"/>
      <c r="FKL1165" s="166"/>
      <c r="FKM1165" s="166"/>
      <c r="FUH1165" s="166"/>
      <c r="FUI1165" s="166"/>
      <c r="GED1165" s="166"/>
      <c r="GEE1165" s="166"/>
      <c r="GNZ1165" s="166"/>
      <c r="GOA1165" s="166"/>
      <c r="GXV1165" s="166"/>
      <c r="GXW1165" s="166"/>
      <c r="HHR1165" s="166"/>
      <c r="HHS1165" s="166"/>
      <c r="HRN1165" s="166"/>
      <c r="HRO1165" s="166"/>
      <c r="IBJ1165" s="166"/>
      <c r="IBK1165" s="166"/>
      <c r="ILF1165" s="166"/>
      <c r="ILG1165" s="166"/>
      <c r="IVB1165" s="166"/>
      <c r="IVC1165" s="166"/>
      <c r="JEX1165" s="166"/>
      <c r="JEY1165" s="166"/>
      <c r="JOT1165" s="166"/>
      <c r="JOU1165" s="166"/>
      <c r="JYP1165" s="166"/>
      <c r="JYQ1165" s="166"/>
      <c r="KIL1165" s="166"/>
      <c r="KIM1165" s="166"/>
      <c r="KSH1165" s="166"/>
      <c r="KSI1165" s="166"/>
      <c r="LCD1165" s="166"/>
      <c r="LCE1165" s="166"/>
      <c r="LLZ1165" s="166"/>
      <c r="LMA1165" s="166"/>
      <c r="LVV1165" s="166"/>
      <c r="LVW1165" s="166"/>
      <c r="MFR1165" s="166"/>
      <c r="MFS1165" s="166"/>
      <c r="MPN1165" s="166"/>
      <c r="MPO1165" s="166"/>
      <c r="MZJ1165" s="166"/>
      <c r="MZK1165" s="166"/>
      <c r="NJF1165" s="166"/>
      <c r="NJG1165" s="166"/>
      <c r="NTB1165" s="166"/>
      <c r="NTC1165" s="166"/>
      <c r="OCX1165" s="166"/>
      <c r="OCY1165" s="166"/>
      <c r="OMT1165" s="166"/>
      <c r="OMU1165" s="166"/>
      <c r="OWP1165" s="166"/>
      <c r="OWQ1165" s="166"/>
      <c r="PGL1165" s="166"/>
      <c r="PGM1165" s="166"/>
      <c r="PQH1165" s="166"/>
      <c r="PQI1165" s="166"/>
      <c r="QAD1165" s="166"/>
      <c r="QAE1165" s="166"/>
      <c r="QJZ1165" s="166"/>
      <c r="QKA1165" s="166"/>
      <c r="QTV1165" s="166"/>
      <c r="QTW1165" s="166"/>
      <c r="RDR1165" s="166"/>
      <c r="RDS1165" s="166"/>
      <c r="RNN1165" s="166"/>
      <c r="RNO1165" s="166"/>
      <c r="RXJ1165" s="166"/>
      <c r="RXK1165" s="166"/>
      <c r="SHF1165" s="166"/>
      <c r="SHG1165" s="166"/>
      <c r="SRB1165" s="166"/>
      <c r="SRC1165" s="166"/>
      <c r="TAX1165" s="166"/>
      <c r="TAY1165" s="166"/>
      <c r="TKT1165" s="166"/>
      <c r="TKU1165" s="166"/>
      <c r="TUP1165" s="166"/>
      <c r="TUQ1165" s="166"/>
      <c r="UEL1165" s="166"/>
      <c r="UEM1165" s="166"/>
      <c r="UOH1165" s="166"/>
      <c r="UOI1165" s="166"/>
      <c r="UYD1165" s="166"/>
      <c r="UYE1165" s="166"/>
      <c r="VHZ1165" s="166"/>
      <c r="VIA1165" s="166"/>
      <c r="VRV1165" s="166"/>
      <c r="VRW1165" s="166"/>
      <c r="WBR1165" s="166"/>
      <c r="WBS1165" s="166"/>
      <c r="WLN1165" s="166"/>
      <c r="WLO1165" s="166"/>
      <c r="WVJ1165" s="166"/>
      <c r="WVK1165" s="166"/>
    </row>
    <row r="1166" spans="1:771 1026:1795 2050:2819 3074:3843 4098:4867 5122:5891 6146:6915 7170:7939 8194:8963 9218:9987 10242:11011 11266:12035 12290:13059 13314:14083 14338:15107 15362:16131" s="166" customFormat="1" ht="69" x14ac:dyDescent="0.25">
      <c r="A1166" s="164">
        <v>108</v>
      </c>
      <c r="B1166" s="180" t="s">
        <v>896</v>
      </c>
      <c r="C1166" s="78" t="s">
        <v>2121</v>
      </c>
      <c r="D1166" s="79" t="s">
        <v>13</v>
      </c>
      <c r="E1166" s="80">
        <v>18.100000000000001</v>
      </c>
      <c r="F1166" s="81"/>
      <c r="G1166" s="33"/>
      <c r="H1166" s="34" t="s">
        <v>897</v>
      </c>
    </row>
    <row r="1167" spans="1:771 1026:1795 2050:2819 3074:3843 4098:4867 5122:5891 6146:6915 7170:7939 8194:8963 9218:9987 10242:11011 11266:12035 12290:13059 13314:14083 14338:15107 15362:16131" s="166" customFormat="1" x14ac:dyDescent="0.25">
      <c r="A1167" s="167"/>
      <c r="B1167" s="169" t="s">
        <v>898</v>
      </c>
      <c r="C1167" s="38" t="s">
        <v>14</v>
      </c>
      <c r="D1167" s="76"/>
      <c r="E1167" s="73"/>
      <c r="F1167" s="74"/>
      <c r="G1167" s="41">
        <f>SUM(G1168)</f>
        <v>352569900</v>
      </c>
      <c r="H1167" s="42"/>
    </row>
    <row r="1168" spans="1:771 1026:1795 2050:2819 3074:3843 4098:4867 5122:5891 6146:6915 7170:7939 8194:8963 9218:9987 10242:11011 11266:12035 12290:13059 13314:14083 14338:15107 15362:16131" s="166" customFormat="1" ht="69.599999999999994" x14ac:dyDescent="0.3">
      <c r="A1168" s="167"/>
      <c r="B1168" s="168" t="s">
        <v>899</v>
      </c>
      <c r="C1168" s="48" t="s">
        <v>38</v>
      </c>
      <c r="D1168" s="76" t="s">
        <v>13</v>
      </c>
      <c r="E1168" s="73">
        <v>18.100000000000001</v>
      </c>
      <c r="F1168" s="161">
        <v>19479000</v>
      </c>
      <c r="G1168" s="40">
        <f>E1168*F1168</f>
        <v>352569900</v>
      </c>
      <c r="H1168" s="42"/>
    </row>
    <row r="1169" spans="1:771 1026:1795 2050:2819 3074:3843 4098:4867 5122:5891 6146:6915 7170:7939 8194:8963 9218:9987 10242:11011 11266:12035 12290:13059 13314:14083 14338:15107 15362:16131" s="166" customFormat="1" x14ac:dyDescent="0.25">
      <c r="A1169" s="167"/>
      <c r="B1169" s="169"/>
      <c r="C1169" s="47" t="s">
        <v>35</v>
      </c>
      <c r="D1169" s="76"/>
      <c r="E1169" s="73"/>
      <c r="F1169" s="74"/>
      <c r="G1169" s="41">
        <f>SUM(G1170:G1172)</f>
        <v>31006600</v>
      </c>
      <c r="H1169" s="45"/>
    </row>
    <row r="1170" spans="1:771 1026:1795 2050:2819 3074:3843 4098:4867 5122:5891 6146:6915 7170:7939 8194:8963 9218:9987 10242:11011 11266:12035 12290:13059 13314:14083 14338:15107 15362:16131" s="166" customFormat="1" ht="46.8" x14ac:dyDescent="0.25">
      <c r="A1170" s="167"/>
      <c r="B1170" s="169"/>
      <c r="C1170" s="66" t="s">
        <v>2123</v>
      </c>
      <c r="D1170" s="76" t="s">
        <v>891</v>
      </c>
      <c r="E1170" s="73">
        <f>9*0.8</f>
        <v>7.2</v>
      </c>
      <c r="F1170" s="74">
        <v>3592000</v>
      </c>
      <c r="G1170" s="40">
        <f>E1170*F1170</f>
        <v>25862400</v>
      </c>
      <c r="H1170" s="45" t="s">
        <v>2122</v>
      </c>
    </row>
    <row r="1171" spans="1:771 1026:1795 2050:2819 3074:3843 4098:4867 5122:5891 6146:6915 7170:7939 8194:8963 9218:9987 10242:11011 11266:12035 12290:13059 13314:14083 14338:15107 15362:16131" s="166" customFormat="1" x14ac:dyDescent="0.25">
      <c r="A1171" s="167"/>
      <c r="B1171" s="169"/>
      <c r="C1171" s="66" t="s">
        <v>305</v>
      </c>
      <c r="D1171" s="76" t="s">
        <v>891</v>
      </c>
      <c r="E1171" s="73">
        <f>2*16</f>
        <v>32</v>
      </c>
      <c r="F1171" s="40">
        <v>140000</v>
      </c>
      <c r="G1171" s="40">
        <f>E1171*F1171</f>
        <v>4480000</v>
      </c>
      <c r="H1171" s="45"/>
    </row>
    <row r="1172" spans="1:771 1026:1795 2050:2819 3074:3843 4098:4867 5122:5891 6146:6915 7170:7939 8194:8963 9218:9987 10242:11011 11266:12035 12290:13059 13314:14083 14338:15107 15362:16131" s="166" customFormat="1" x14ac:dyDescent="0.25">
      <c r="A1172" s="167"/>
      <c r="B1172" s="169"/>
      <c r="C1172" s="66" t="s">
        <v>900</v>
      </c>
      <c r="D1172" s="76" t="s">
        <v>891</v>
      </c>
      <c r="E1172" s="73">
        <f>1.8*9</f>
        <v>16.2</v>
      </c>
      <c r="F1172" s="40">
        <v>41000</v>
      </c>
      <c r="G1172" s="40">
        <f>E1172*F1172</f>
        <v>664200</v>
      </c>
      <c r="H1172" s="45"/>
    </row>
    <row r="1173" spans="1:771 1026:1795 2050:2819 3074:3843 4098:4867 5122:5891 6146:6915 7170:7939 8194:8963 9218:9987 10242:11011 11266:12035 12290:13059 13314:14083 14338:15107 15362:16131" s="166" customFormat="1" x14ac:dyDescent="0.25">
      <c r="A1173" s="167"/>
      <c r="B1173" s="169"/>
      <c r="C1173" s="51" t="s">
        <v>20</v>
      </c>
      <c r="D1173" s="76"/>
      <c r="E1173" s="73"/>
      <c r="F1173" s="74"/>
      <c r="G1173" s="41">
        <f>SUM(G1174:G1177)</f>
        <v>400000</v>
      </c>
      <c r="H1173" s="52"/>
    </row>
    <row r="1174" spans="1:771 1026:1795 2050:2819 3074:3843 4098:4867 5122:5891 6146:6915 7170:7939 8194:8963 9218:9987 10242:11011 11266:12035 12290:13059 13314:14083 14338:15107 15362:16131" s="166" customFormat="1" x14ac:dyDescent="0.25">
      <c r="A1174" s="167"/>
      <c r="B1174" s="169"/>
      <c r="C1174" s="75" t="s">
        <v>901</v>
      </c>
      <c r="D1174" s="76" t="s">
        <v>22</v>
      </c>
      <c r="E1174" s="73">
        <v>1</v>
      </c>
      <c r="F1174" s="74">
        <v>40000</v>
      </c>
      <c r="G1174" s="40">
        <f>E1174*F1174</f>
        <v>40000</v>
      </c>
      <c r="H1174" s="52"/>
    </row>
    <row r="1175" spans="1:771 1026:1795 2050:2819 3074:3843 4098:4867 5122:5891 6146:6915 7170:7939 8194:8963 9218:9987 10242:11011 11266:12035 12290:13059 13314:14083 14338:15107 15362:16131" s="166" customFormat="1" x14ac:dyDescent="0.25">
      <c r="A1175" s="167"/>
      <c r="B1175" s="169"/>
      <c r="C1175" s="75" t="s">
        <v>902</v>
      </c>
      <c r="D1175" s="76" t="s">
        <v>22</v>
      </c>
      <c r="E1175" s="73">
        <v>1</v>
      </c>
      <c r="F1175" s="74">
        <v>40000</v>
      </c>
      <c r="G1175" s="40">
        <f>E1175*F1175</f>
        <v>40000</v>
      </c>
      <c r="H1175" s="52"/>
    </row>
    <row r="1176" spans="1:771 1026:1795 2050:2819 3074:3843 4098:4867 5122:5891 6146:6915 7170:7939 8194:8963 9218:9987 10242:11011 11266:12035 12290:13059 13314:14083 14338:15107 15362:16131" s="166" customFormat="1" x14ac:dyDescent="0.25">
      <c r="A1176" s="167"/>
      <c r="B1176" s="169"/>
      <c r="C1176" s="75" t="s">
        <v>779</v>
      </c>
      <c r="D1176" s="76" t="s">
        <v>22</v>
      </c>
      <c r="E1176" s="73">
        <v>2</v>
      </c>
      <c r="F1176" s="74">
        <v>40000</v>
      </c>
      <c r="G1176" s="40">
        <f>E1176*F1176</f>
        <v>80000</v>
      </c>
      <c r="H1176" s="52"/>
    </row>
    <row r="1177" spans="1:771 1026:1795 2050:2819 3074:3843 4098:4867 5122:5891 6146:6915 7170:7939 8194:8963 9218:9987 10242:11011 11266:12035 12290:13059 13314:14083 14338:15107 15362:16131" s="166" customFormat="1" x14ac:dyDescent="0.25">
      <c r="A1177" s="167"/>
      <c r="B1177" s="169"/>
      <c r="C1177" s="75" t="s">
        <v>2344</v>
      </c>
      <c r="D1177" s="76" t="s">
        <v>21</v>
      </c>
      <c r="E1177" s="73">
        <v>1</v>
      </c>
      <c r="F1177" s="74">
        <v>240000</v>
      </c>
      <c r="G1177" s="40">
        <f>E1177*F1177</f>
        <v>240000</v>
      </c>
      <c r="H1177" s="52"/>
    </row>
    <row r="1178" spans="1:771 1026:1795 2050:2819 3074:3843 4098:4867 5122:5891 6146:6915 7170:7939 8194:8963 9218:9987 10242:11011 11266:12035 12290:13059 13314:14083 14338:15107 15362:16131" s="35" customFormat="1" ht="65.400000000000006" thickBot="1" x14ac:dyDescent="0.35">
      <c r="A1178" s="53"/>
      <c r="B1178" s="54"/>
      <c r="C1178" s="55" t="s">
        <v>2331</v>
      </c>
      <c r="D1178" s="56"/>
      <c r="E1178" s="5"/>
      <c r="F1178" s="6"/>
      <c r="G1178" s="57"/>
      <c r="H1178" s="58"/>
    </row>
    <row r="1179" spans="1:771 1026:1795 2050:2819 3074:3843 4098:4867 5122:5891 6146:6915 7170:7939 8194:8963 9218:9987 10242:11011 11266:12035 12290:13059 13314:14083 14338:15107 15362:16131" s="172" customFormat="1" ht="31.8" thickBot="1" x14ac:dyDescent="0.3">
      <c r="A1179" s="154"/>
      <c r="B1179" s="155" t="s">
        <v>26</v>
      </c>
      <c r="C1179" s="156"/>
      <c r="D1179" s="154"/>
      <c r="E1179" s="157"/>
      <c r="F1179" s="158"/>
      <c r="G1179" s="159">
        <f>SUM(G1166:G1178)/2</f>
        <v>383976500</v>
      </c>
      <c r="H1179" s="160"/>
      <c r="IX1179" s="166"/>
      <c r="IY1179" s="166"/>
      <c r="ST1179" s="166"/>
      <c r="SU1179" s="166"/>
      <c r="ACP1179" s="166"/>
      <c r="ACQ1179" s="166"/>
      <c r="AML1179" s="166"/>
      <c r="AMM1179" s="166"/>
      <c r="AWH1179" s="166"/>
      <c r="AWI1179" s="166"/>
      <c r="BGD1179" s="166"/>
      <c r="BGE1179" s="166"/>
      <c r="BPZ1179" s="166"/>
      <c r="BQA1179" s="166"/>
      <c r="BZV1179" s="166"/>
      <c r="BZW1179" s="166"/>
      <c r="CJR1179" s="166"/>
      <c r="CJS1179" s="166"/>
      <c r="CTN1179" s="166"/>
      <c r="CTO1179" s="166"/>
      <c r="DDJ1179" s="166"/>
      <c r="DDK1179" s="166"/>
      <c r="DNF1179" s="166"/>
      <c r="DNG1179" s="166"/>
      <c r="DXB1179" s="166"/>
      <c r="DXC1179" s="166"/>
      <c r="EGX1179" s="166"/>
      <c r="EGY1179" s="166"/>
      <c r="EQT1179" s="166"/>
      <c r="EQU1179" s="166"/>
      <c r="FAP1179" s="166"/>
      <c r="FAQ1179" s="166"/>
      <c r="FKL1179" s="166"/>
      <c r="FKM1179" s="166"/>
      <c r="FUH1179" s="166"/>
      <c r="FUI1179" s="166"/>
      <c r="GED1179" s="166"/>
      <c r="GEE1179" s="166"/>
      <c r="GNZ1179" s="166"/>
      <c r="GOA1179" s="166"/>
      <c r="GXV1179" s="166"/>
      <c r="GXW1179" s="166"/>
      <c r="HHR1179" s="166"/>
      <c r="HHS1179" s="166"/>
      <c r="HRN1179" s="166"/>
      <c r="HRO1179" s="166"/>
      <c r="IBJ1179" s="166"/>
      <c r="IBK1179" s="166"/>
      <c r="ILF1179" s="166"/>
      <c r="ILG1179" s="166"/>
      <c r="IVB1179" s="166"/>
      <c r="IVC1179" s="166"/>
      <c r="JEX1179" s="166"/>
      <c r="JEY1179" s="166"/>
      <c r="JOT1179" s="166"/>
      <c r="JOU1179" s="166"/>
      <c r="JYP1179" s="166"/>
      <c r="JYQ1179" s="166"/>
      <c r="KIL1179" s="166"/>
      <c r="KIM1179" s="166"/>
      <c r="KSH1179" s="166"/>
      <c r="KSI1179" s="166"/>
      <c r="LCD1179" s="166"/>
      <c r="LCE1179" s="166"/>
      <c r="LLZ1179" s="166"/>
      <c r="LMA1179" s="166"/>
      <c r="LVV1179" s="166"/>
      <c r="LVW1179" s="166"/>
      <c r="MFR1179" s="166"/>
      <c r="MFS1179" s="166"/>
      <c r="MPN1179" s="166"/>
      <c r="MPO1179" s="166"/>
      <c r="MZJ1179" s="166"/>
      <c r="MZK1179" s="166"/>
      <c r="NJF1179" s="166"/>
      <c r="NJG1179" s="166"/>
      <c r="NTB1179" s="166"/>
      <c r="NTC1179" s="166"/>
      <c r="OCX1179" s="166"/>
      <c r="OCY1179" s="166"/>
      <c r="OMT1179" s="166"/>
      <c r="OMU1179" s="166"/>
      <c r="OWP1179" s="166"/>
      <c r="OWQ1179" s="166"/>
      <c r="PGL1179" s="166"/>
      <c r="PGM1179" s="166"/>
      <c r="PQH1179" s="166"/>
      <c r="PQI1179" s="166"/>
      <c r="QAD1179" s="166"/>
      <c r="QAE1179" s="166"/>
      <c r="QJZ1179" s="166"/>
      <c r="QKA1179" s="166"/>
      <c r="QTV1179" s="166"/>
      <c r="QTW1179" s="166"/>
      <c r="RDR1179" s="166"/>
      <c r="RDS1179" s="166"/>
      <c r="RNN1179" s="166"/>
      <c r="RNO1179" s="166"/>
      <c r="RXJ1179" s="166"/>
      <c r="RXK1179" s="166"/>
      <c r="SHF1179" s="166"/>
      <c r="SHG1179" s="166"/>
      <c r="SRB1179" s="166"/>
      <c r="SRC1179" s="166"/>
      <c r="TAX1179" s="166"/>
      <c r="TAY1179" s="166"/>
      <c r="TKT1179" s="166"/>
      <c r="TKU1179" s="166"/>
      <c r="TUP1179" s="166"/>
      <c r="TUQ1179" s="166"/>
      <c r="UEL1179" s="166"/>
      <c r="UEM1179" s="166"/>
      <c r="UOH1179" s="166"/>
      <c r="UOI1179" s="166"/>
      <c r="UYD1179" s="166"/>
      <c r="UYE1179" s="166"/>
      <c r="VHZ1179" s="166"/>
      <c r="VIA1179" s="166"/>
      <c r="VRV1179" s="166"/>
      <c r="VRW1179" s="166"/>
      <c r="WBR1179" s="166"/>
      <c r="WBS1179" s="166"/>
      <c r="WLN1179" s="166"/>
      <c r="WLO1179" s="166"/>
      <c r="WVJ1179" s="166"/>
      <c r="WVK1179" s="166"/>
    </row>
    <row r="1180" spans="1:771 1026:1795 2050:2819 3074:3843 4098:4867 5122:5891 6146:6915 7170:7939 8194:8963 9218:9987 10242:11011 11266:12035 12290:13059 13314:14083 14338:15107 15362:16131" s="166" customFormat="1" ht="69" x14ac:dyDescent="0.25">
      <c r="A1180" s="164">
        <v>109</v>
      </c>
      <c r="B1180" s="180" t="s">
        <v>903</v>
      </c>
      <c r="C1180" s="78" t="s">
        <v>904</v>
      </c>
      <c r="D1180" s="79" t="s">
        <v>13</v>
      </c>
      <c r="E1180" s="80">
        <v>9.5</v>
      </c>
      <c r="F1180" s="81"/>
      <c r="G1180" s="33"/>
      <c r="H1180" s="34" t="s">
        <v>905</v>
      </c>
    </row>
    <row r="1181" spans="1:771 1026:1795 2050:2819 3074:3843 4098:4867 5122:5891 6146:6915 7170:7939 8194:8963 9218:9987 10242:11011 11266:12035 12290:13059 13314:14083 14338:15107 15362:16131" s="166" customFormat="1" x14ac:dyDescent="0.25">
      <c r="A1181" s="167"/>
      <c r="B1181" s="169" t="s">
        <v>906</v>
      </c>
      <c r="C1181" s="38" t="s">
        <v>14</v>
      </c>
      <c r="D1181" s="76"/>
      <c r="E1181" s="73"/>
      <c r="F1181" s="74"/>
      <c r="G1181" s="41">
        <f>SUM(G1182)</f>
        <v>185050500</v>
      </c>
      <c r="H1181" s="42"/>
    </row>
    <row r="1182" spans="1:771 1026:1795 2050:2819 3074:3843 4098:4867 5122:5891 6146:6915 7170:7939 8194:8963 9218:9987 10242:11011 11266:12035 12290:13059 13314:14083 14338:15107 15362:16131" s="166" customFormat="1" ht="69.599999999999994" x14ac:dyDescent="0.3">
      <c r="A1182" s="167"/>
      <c r="B1182" s="168" t="s">
        <v>907</v>
      </c>
      <c r="C1182" s="48" t="s">
        <v>38</v>
      </c>
      <c r="D1182" s="76" t="s">
        <v>13</v>
      </c>
      <c r="E1182" s="73">
        <v>9.5</v>
      </c>
      <c r="F1182" s="161">
        <v>19479000</v>
      </c>
      <c r="G1182" s="40">
        <f>E1182*F1182</f>
        <v>185050500</v>
      </c>
      <c r="H1182" s="42"/>
    </row>
    <row r="1183" spans="1:771 1026:1795 2050:2819 3074:3843 4098:4867 5122:5891 6146:6915 7170:7939 8194:8963 9218:9987 10242:11011 11266:12035 12290:13059 13314:14083 14338:15107 15362:16131" s="166" customFormat="1" x14ac:dyDescent="0.25">
      <c r="A1183" s="167"/>
      <c r="B1183" s="169" t="s">
        <v>908</v>
      </c>
      <c r="C1183" s="47" t="s">
        <v>35</v>
      </c>
      <c r="D1183" s="76"/>
      <c r="E1183" s="73"/>
      <c r="F1183" s="74"/>
      <c r="G1183" s="41">
        <f>SUM(G1184:G1185)</f>
        <v>20918290.000000004</v>
      </c>
      <c r="H1183" s="45"/>
    </row>
    <row r="1184" spans="1:771 1026:1795 2050:2819 3074:3843 4098:4867 5122:5891 6146:6915 7170:7939 8194:8963 9218:9987 10242:11011 11266:12035 12290:13059 13314:14083 14338:15107 15362:16131" s="166" customFormat="1" ht="78" x14ac:dyDescent="0.25">
      <c r="A1184" s="167"/>
      <c r="B1184" s="169"/>
      <c r="C1184" s="66" t="s">
        <v>909</v>
      </c>
      <c r="D1184" s="76" t="s">
        <v>891</v>
      </c>
      <c r="E1184" s="73">
        <f>((1.2+1)*4.7)/2</f>
        <v>5.1700000000000008</v>
      </c>
      <c r="F1184" s="74">
        <v>3592000</v>
      </c>
      <c r="G1184" s="40">
        <f>E1184*F1184</f>
        <v>18570640.000000004</v>
      </c>
      <c r="H1184" s="45" t="s">
        <v>2463</v>
      </c>
    </row>
    <row r="1185" spans="1:771 1026:1795 2050:2819 3074:3843 4098:4867 5122:5891 6146:6915 7170:7939 8194:8963 9218:9987 10242:11011 11266:12035 12290:13059 13314:14083 14338:15107 15362:16131" s="166" customFormat="1" ht="62.4" x14ac:dyDescent="0.25">
      <c r="A1185" s="167"/>
      <c r="B1185" s="169"/>
      <c r="C1185" s="66" t="s">
        <v>910</v>
      </c>
      <c r="D1185" s="76" t="s">
        <v>891</v>
      </c>
      <c r="E1185" s="73">
        <f>((0.8+1.05)*4.7)/2</f>
        <v>4.3475000000000001</v>
      </c>
      <c r="F1185" s="74">
        <v>540000</v>
      </c>
      <c r="G1185" s="40">
        <f>E1185*F1185</f>
        <v>2347650</v>
      </c>
      <c r="H1185" s="45" t="s">
        <v>2375</v>
      </c>
    </row>
    <row r="1186" spans="1:771 1026:1795 2050:2819 3074:3843 4098:4867 5122:5891 6146:6915 7170:7939 8194:8963 9218:9987 10242:11011 11266:12035 12290:13059 13314:14083 14338:15107 15362:16131" s="35" customFormat="1" ht="65.400000000000006" thickBot="1" x14ac:dyDescent="0.35">
      <c r="A1186" s="53"/>
      <c r="B1186" s="54"/>
      <c r="C1186" s="55" t="s">
        <v>2331</v>
      </c>
      <c r="D1186" s="56"/>
      <c r="E1186" s="5"/>
      <c r="F1186" s="6"/>
      <c r="G1186" s="57"/>
      <c r="H1186" s="58"/>
    </row>
    <row r="1187" spans="1:771 1026:1795 2050:2819 3074:3843 4098:4867 5122:5891 6146:6915 7170:7939 8194:8963 9218:9987 10242:11011 11266:12035 12290:13059 13314:14083 14338:15107 15362:16131" s="172" customFormat="1" ht="31.8" thickBot="1" x14ac:dyDescent="0.3">
      <c r="A1187" s="154"/>
      <c r="B1187" s="155" t="s">
        <v>26</v>
      </c>
      <c r="C1187" s="156"/>
      <c r="D1187" s="154"/>
      <c r="E1187" s="157"/>
      <c r="F1187" s="158"/>
      <c r="G1187" s="159">
        <f>SUM(G1180:G1186)/2</f>
        <v>205968790</v>
      </c>
      <c r="H1187" s="160"/>
      <c r="IX1187" s="166"/>
      <c r="IY1187" s="166"/>
      <c r="ST1187" s="166"/>
      <c r="SU1187" s="166"/>
      <c r="ACP1187" s="166"/>
      <c r="ACQ1187" s="166"/>
      <c r="AML1187" s="166"/>
      <c r="AMM1187" s="166"/>
      <c r="AWH1187" s="166"/>
      <c r="AWI1187" s="166"/>
      <c r="BGD1187" s="166"/>
      <c r="BGE1187" s="166"/>
      <c r="BPZ1187" s="166"/>
      <c r="BQA1187" s="166"/>
      <c r="BZV1187" s="166"/>
      <c r="BZW1187" s="166"/>
      <c r="CJR1187" s="166"/>
      <c r="CJS1187" s="166"/>
      <c r="CTN1187" s="166"/>
      <c r="CTO1187" s="166"/>
      <c r="DDJ1187" s="166"/>
      <c r="DDK1187" s="166"/>
      <c r="DNF1187" s="166"/>
      <c r="DNG1187" s="166"/>
      <c r="DXB1187" s="166"/>
      <c r="DXC1187" s="166"/>
      <c r="EGX1187" s="166"/>
      <c r="EGY1187" s="166"/>
      <c r="EQT1187" s="166"/>
      <c r="EQU1187" s="166"/>
      <c r="FAP1187" s="166"/>
      <c r="FAQ1187" s="166"/>
      <c r="FKL1187" s="166"/>
      <c r="FKM1187" s="166"/>
      <c r="FUH1187" s="166"/>
      <c r="FUI1187" s="166"/>
      <c r="GED1187" s="166"/>
      <c r="GEE1187" s="166"/>
      <c r="GNZ1187" s="166"/>
      <c r="GOA1187" s="166"/>
      <c r="GXV1187" s="166"/>
      <c r="GXW1187" s="166"/>
      <c r="HHR1187" s="166"/>
      <c r="HHS1187" s="166"/>
      <c r="HRN1187" s="166"/>
      <c r="HRO1187" s="166"/>
      <c r="IBJ1187" s="166"/>
      <c r="IBK1187" s="166"/>
      <c r="ILF1187" s="166"/>
      <c r="ILG1187" s="166"/>
      <c r="IVB1187" s="166"/>
      <c r="IVC1187" s="166"/>
      <c r="JEX1187" s="166"/>
      <c r="JEY1187" s="166"/>
      <c r="JOT1187" s="166"/>
      <c r="JOU1187" s="166"/>
      <c r="JYP1187" s="166"/>
      <c r="JYQ1187" s="166"/>
      <c r="KIL1187" s="166"/>
      <c r="KIM1187" s="166"/>
      <c r="KSH1187" s="166"/>
      <c r="KSI1187" s="166"/>
      <c r="LCD1187" s="166"/>
      <c r="LCE1187" s="166"/>
      <c r="LLZ1187" s="166"/>
      <c r="LMA1187" s="166"/>
      <c r="LVV1187" s="166"/>
      <c r="LVW1187" s="166"/>
      <c r="MFR1187" s="166"/>
      <c r="MFS1187" s="166"/>
      <c r="MPN1187" s="166"/>
      <c r="MPO1187" s="166"/>
      <c r="MZJ1187" s="166"/>
      <c r="MZK1187" s="166"/>
      <c r="NJF1187" s="166"/>
      <c r="NJG1187" s="166"/>
      <c r="NTB1187" s="166"/>
      <c r="NTC1187" s="166"/>
      <c r="OCX1187" s="166"/>
      <c r="OCY1187" s="166"/>
      <c r="OMT1187" s="166"/>
      <c r="OMU1187" s="166"/>
      <c r="OWP1187" s="166"/>
      <c r="OWQ1187" s="166"/>
      <c r="PGL1187" s="166"/>
      <c r="PGM1187" s="166"/>
      <c r="PQH1187" s="166"/>
      <c r="PQI1187" s="166"/>
      <c r="QAD1187" s="166"/>
      <c r="QAE1187" s="166"/>
      <c r="QJZ1187" s="166"/>
      <c r="QKA1187" s="166"/>
      <c r="QTV1187" s="166"/>
      <c r="QTW1187" s="166"/>
      <c r="RDR1187" s="166"/>
      <c r="RDS1187" s="166"/>
      <c r="RNN1187" s="166"/>
      <c r="RNO1187" s="166"/>
      <c r="RXJ1187" s="166"/>
      <c r="RXK1187" s="166"/>
      <c r="SHF1187" s="166"/>
      <c r="SHG1187" s="166"/>
      <c r="SRB1187" s="166"/>
      <c r="SRC1187" s="166"/>
      <c r="TAX1187" s="166"/>
      <c r="TAY1187" s="166"/>
      <c r="TKT1187" s="166"/>
      <c r="TKU1187" s="166"/>
      <c r="TUP1187" s="166"/>
      <c r="TUQ1187" s="166"/>
      <c r="UEL1187" s="166"/>
      <c r="UEM1187" s="166"/>
      <c r="UOH1187" s="166"/>
      <c r="UOI1187" s="166"/>
      <c r="UYD1187" s="166"/>
      <c r="UYE1187" s="166"/>
      <c r="VHZ1187" s="166"/>
      <c r="VIA1187" s="166"/>
      <c r="VRV1187" s="166"/>
      <c r="VRW1187" s="166"/>
      <c r="WBR1187" s="166"/>
      <c r="WBS1187" s="166"/>
      <c r="WLN1187" s="166"/>
      <c r="WLO1187" s="166"/>
      <c r="WVJ1187" s="166"/>
      <c r="WVK1187" s="166"/>
    </row>
    <row r="1188" spans="1:771 1026:1795 2050:2819 3074:3843 4098:4867 5122:5891 6146:6915 7170:7939 8194:8963 9218:9987 10242:11011 11266:12035 12290:13059 13314:14083 14338:15107 15362:16131" s="166" customFormat="1" ht="55.2" x14ac:dyDescent="0.25">
      <c r="A1188" s="164">
        <v>110</v>
      </c>
      <c r="B1188" s="165" t="s">
        <v>911</v>
      </c>
      <c r="C1188" s="78" t="s">
        <v>2119</v>
      </c>
      <c r="D1188" s="79" t="s">
        <v>13</v>
      </c>
      <c r="E1188" s="80">
        <v>10.199999999999999</v>
      </c>
      <c r="F1188" s="81"/>
      <c r="G1188" s="33"/>
      <c r="H1188" s="34" t="s">
        <v>912</v>
      </c>
    </row>
    <row r="1189" spans="1:771 1026:1795 2050:2819 3074:3843 4098:4867 5122:5891 6146:6915 7170:7939 8194:8963 9218:9987 10242:11011 11266:12035 12290:13059 13314:14083 14338:15107 15362:16131" s="166" customFormat="1" ht="27.6" x14ac:dyDescent="0.25">
      <c r="A1189" s="167"/>
      <c r="B1189" s="168" t="s">
        <v>913</v>
      </c>
      <c r="C1189" s="38" t="s">
        <v>14</v>
      </c>
      <c r="D1189" s="76"/>
      <c r="E1189" s="73"/>
      <c r="F1189" s="74"/>
      <c r="G1189" s="41">
        <f>SUM(G1190)</f>
        <v>106120800</v>
      </c>
      <c r="H1189" s="42"/>
    </row>
    <row r="1190" spans="1:771 1026:1795 2050:2819 3074:3843 4098:4867 5122:5891 6146:6915 7170:7939 8194:8963 9218:9987 10242:11011 11266:12035 12290:13059 13314:14083 14338:15107 15362:16131" s="166" customFormat="1" ht="41.4" x14ac:dyDescent="0.25">
      <c r="A1190" s="167"/>
      <c r="B1190" s="168" t="s">
        <v>914</v>
      </c>
      <c r="C1190" s="105" t="s">
        <v>55</v>
      </c>
      <c r="D1190" s="76" t="s">
        <v>13</v>
      </c>
      <c r="E1190" s="73">
        <v>10.199999999999999</v>
      </c>
      <c r="F1190" s="182">
        <v>10404000</v>
      </c>
      <c r="G1190" s="40">
        <f>E1190*F1190</f>
        <v>106120800</v>
      </c>
      <c r="H1190" s="42"/>
    </row>
    <row r="1191" spans="1:771 1026:1795 2050:2819 3074:3843 4098:4867 5122:5891 6146:6915 7170:7939 8194:8963 9218:9987 10242:11011 11266:12035 12290:13059 13314:14083 14338:15107 15362:16131" s="166" customFormat="1" x14ac:dyDescent="0.25">
      <c r="A1191" s="167"/>
      <c r="B1191" s="169" t="s">
        <v>915</v>
      </c>
      <c r="C1191" s="47" t="s">
        <v>35</v>
      </c>
      <c r="D1191" s="76"/>
      <c r="E1191" s="73"/>
      <c r="F1191" s="74"/>
      <c r="G1191" s="41">
        <f>SUM(G1192:G1193)</f>
        <v>3221485.5</v>
      </c>
      <c r="H1191" s="45"/>
    </row>
    <row r="1192" spans="1:771 1026:1795 2050:2819 3074:3843 4098:4867 5122:5891 6146:6915 7170:7939 8194:8963 9218:9987 10242:11011 11266:12035 12290:13059 13314:14083 14338:15107 15362:16131" s="166" customFormat="1" ht="31.2" x14ac:dyDescent="0.25">
      <c r="A1192" s="167"/>
      <c r="B1192" s="169"/>
      <c r="C1192" s="66" t="s">
        <v>916</v>
      </c>
      <c r="D1192" s="76" t="s">
        <v>891</v>
      </c>
      <c r="E1192" s="73">
        <f>(4.6*1.5)+(5.1*1.5)</f>
        <v>14.549999999999999</v>
      </c>
      <c r="F1192" s="40">
        <v>122000</v>
      </c>
      <c r="G1192" s="40">
        <f>E1192*F1192</f>
        <v>1775099.9999999998</v>
      </c>
      <c r="H1192" s="45"/>
    </row>
    <row r="1193" spans="1:771 1026:1795 2050:2819 3074:3843 4098:4867 5122:5891 6146:6915 7170:7939 8194:8963 9218:9987 10242:11011 11266:12035 12290:13059 13314:14083 14338:15107 15362:16131" s="166" customFormat="1" x14ac:dyDescent="0.25">
      <c r="A1193" s="167"/>
      <c r="B1193" s="169"/>
      <c r="C1193" s="66" t="s">
        <v>628</v>
      </c>
      <c r="D1193" s="76" t="s">
        <v>891</v>
      </c>
      <c r="E1193" s="73">
        <f>3.7*5.1*0.05</f>
        <v>0.94350000000000012</v>
      </c>
      <c r="F1193" s="40">
        <v>1533000</v>
      </c>
      <c r="G1193" s="40">
        <f>E1193*F1193</f>
        <v>1446385.5000000002</v>
      </c>
      <c r="H1193" s="45"/>
    </row>
    <row r="1194" spans="1:771 1026:1795 2050:2819 3074:3843 4098:4867 5122:5891 6146:6915 7170:7939 8194:8963 9218:9987 10242:11011 11266:12035 12290:13059 13314:14083 14338:15107 15362:16131" s="166" customFormat="1" x14ac:dyDescent="0.25">
      <c r="A1194" s="167"/>
      <c r="B1194" s="169"/>
      <c r="C1194" s="51" t="s">
        <v>23</v>
      </c>
      <c r="D1194" s="76"/>
      <c r="E1194" s="3"/>
      <c r="F1194" s="4"/>
      <c r="G1194" s="41">
        <f>SUM(G1195)</f>
        <v>6120000</v>
      </c>
      <c r="H1194" s="52"/>
    </row>
    <row r="1195" spans="1:771 1026:1795 2050:2819 3074:3843 4098:4867 5122:5891 6146:6915 7170:7939 8194:8963 9218:9987 10242:11011 11266:12035 12290:13059 13314:14083 14338:15107 15362:16131" s="166" customFormat="1" x14ac:dyDescent="0.25">
      <c r="A1195" s="167"/>
      <c r="B1195" s="169"/>
      <c r="C1195" s="75" t="s">
        <v>24</v>
      </c>
      <c r="D1195" s="76" t="s">
        <v>25</v>
      </c>
      <c r="E1195" s="3">
        <f>2*30*6</f>
        <v>360</v>
      </c>
      <c r="F1195" s="4">
        <v>17000</v>
      </c>
      <c r="G1195" s="40">
        <f>E1195*F1195</f>
        <v>6120000</v>
      </c>
      <c r="H1195" s="42"/>
    </row>
    <row r="1196" spans="1:771 1026:1795 2050:2819 3074:3843 4098:4867 5122:5891 6146:6915 7170:7939 8194:8963 9218:9987 10242:11011 11266:12035 12290:13059 13314:14083 14338:15107 15362:16131" s="35" customFormat="1" ht="65.400000000000006" thickBot="1" x14ac:dyDescent="0.35">
      <c r="A1196" s="53"/>
      <c r="B1196" s="54"/>
      <c r="C1196" s="55" t="s">
        <v>2331</v>
      </c>
      <c r="D1196" s="56"/>
      <c r="E1196" s="5"/>
      <c r="F1196" s="6"/>
      <c r="G1196" s="57"/>
      <c r="H1196" s="58"/>
    </row>
    <row r="1197" spans="1:771 1026:1795 2050:2819 3074:3843 4098:4867 5122:5891 6146:6915 7170:7939 8194:8963 9218:9987 10242:11011 11266:12035 12290:13059 13314:14083 14338:15107 15362:16131" s="172" customFormat="1" ht="31.8" thickBot="1" x14ac:dyDescent="0.3">
      <c r="A1197" s="154"/>
      <c r="B1197" s="155" t="s">
        <v>26</v>
      </c>
      <c r="C1197" s="156"/>
      <c r="D1197" s="154"/>
      <c r="E1197" s="157"/>
      <c r="F1197" s="158"/>
      <c r="G1197" s="159">
        <f>SUM(G1188:G1196)/2</f>
        <v>115462285.5</v>
      </c>
      <c r="H1197" s="160"/>
      <c r="IX1197" s="166"/>
      <c r="IY1197" s="166"/>
      <c r="ST1197" s="166"/>
      <c r="SU1197" s="166"/>
      <c r="ACP1197" s="166"/>
      <c r="ACQ1197" s="166"/>
      <c r="AML1197" s="166"/>
      <c r="AMM1197" s="166"/>
      <c r="AWH1197" s="166"/>
      <c r="AWI1197" s="166"/>
      <c r="BGD1197" s="166"/>
      <c r="BGE1197" s="166"/>
      <c r="BPZ1197" s="166"/>
      <c r="BQA1197" s="166"/>
      <c r="BZV1197" s="166"/>
      <c r="BZW1197" s="166"/>
      <c r="CJR1197" s="166"/>
      <c r="CJS1197" s="166"/>
      <c r="CTN1197" s="166"/>
      <c r="CTO1197" s="166"/>
      <c r="DDJ1197" s="166"/>
      <c r="DDK1197" s="166"/>
      <c r="DNF1197" s="166"/>
      <c r="DNG1197" s="166"/>
      <c r="DXB1197" s="166"/>
      <c r="DXC1197" s="166"/>
      <c r="EGX1197" s="166"/>
      <c r="EGY1197" s="166"/>
      <c r="EQT1197" s="166"/>
      <c r="EQU1197" s="166"/>
      <c r="FAP1197" s="166"/>
      <c r="FAQ1197" s="166"/>
      <c r="FKL1197" s="166"/>
      <c r="FKM1197" s="166"/>
      <c r="FUH1197" s="166"/>
      <c r="FUI1197" s="166"/>
      <c r="GED1197" s="166"/>
      <c r="GEE1197" s="166"/>
      <c r="GNZ1197" s="166"/>
      <c r="GOA1197" s="166"/>
      <c r="GXV1197" s="166"/>
      <c r="GXW1197" s="166"/>
      <c r="HHR1197" s="166"/>
      <c r="HHS1197" s="166"/>
      <c r="HRN1197" s="166"/>
      <c r="HRO1197" s="166"/>
      <c r="IBJ1197" s="166"/>
      <c r="IBK1197" s="166"/>
      <c r="ILF1197" s="166"/>
      <c r="ILG1197" s="166"/>
      <c r="IVB1197" s="166"/>
      <c r="IVC1197" s="166"/>
      <c r="JEX1197" s="166"/>
      <c r="JEY1197" s="166"/>
      <c r="JOT1197" s="166"/>
      <c r="JOU1197" s="166"/>
      <c r="JYP1197" s="166"/>
      <c r="JYQ1197" s="166"/>
      <c r="KIL1197" s="166"/>
      <c r="KIM1197" s="166"/>
      <c r="KSH1197" s="166"/>
      <c r="KSI1197" s="166"/>
      <c r="LCD1197" s="166"/>
      <c r="LCE1197" s="166"/>
      <c r="LLZ1197" s="166"/>
      <c r="LMA1197" s="166"/>
      <c r="LVV1197" s="166"/>
      <c r="LVW1197" s="166"/>
      <c r="MFR1197" s="166"/>
      <c r="MFS1197" s="166"/>
      <c r="MPN1197" s="166"/>
      <c r="MPO1197" s="166"/>
      <c r="MZJ1197" s="166"/>
      <c r="MZK1197" s="166"/>
      <c r="NJF1197" s="166"/>
      <c r="NJG1197" s="166"/>
      <c r="NTB1197" s="166"/>
      <c r="NTC1197" s="166"/>
      <c r="OCX1197" s="166"/>
      <c r="OCY1197" s="166"/>
      <c r="OMT1197" s="166"/>
      <c r="OMU1197" s="166"/>
      <c r="OWP1197" s="166"/>
      <c r="OWQ1197" s="166"/>
      <c r="PGL1197" s="166"/>
      <c r="PGM1197" s="166"/>
      <c r="PQH1197" s="166"/>
      <c r="PQI1197" s="166"/>
      <c r="QAD1197" s="166"/>
      <c r="QAE1197" s="166"/>
      <c r="QJZ1197" s="166"/>
      <c r="QKA1197" s="166"/>
      <c r="QTV1197" s="166"/>
      <c r="QTW1197" s="166"/>
      <c r="RDR1197" s="166"/>
      <c r="RDS1197" s="166"/>
      <c r="RNN1197" s="166"/>
      <c r="RNO1197" s="166"/>
      <c r="RXJ1197" s="166"/>
      <c r="RXK1197" s="166"/>
      <c r="SHF1197" s="166"/>
      <c r="SHG1197" s="166"/>
      <c r="SRB1197" s="166"/>
      <c r="SRC1197" s="166"/>
      <c r="TAX1197" s="166"/>
      <c r="TAY1197" s="166"/>
      <c r="TKT1197" s="166"/>
      <c r="TKU1197" s="166"/>
      <c r="TUP1197" s="166"/>
      <c r="TUQ1197" s="166"/>
      <c r="UEL1197" s="166"/>
      <c r="UEM1197" s="166"/>
      <c r="UOH1197" s="166"/>
      <c r="UOI1197" s="166"/>
      <c r="UYD1197" s="166"/>
      <c r="UYE1197" s="166"/>
      <c r="VHZ1197" s="166"/>
      <c r="VIA1197" s="166"/>
      <c r="VRV1197" s="166"/>
      <c r="VRW1197" s="166"/>
      <c r="WBR1197" s="166"/>
      <c r="WBS1197" s="166"/>
      <c r="WLN1197" s="166"/>
      <c r="WLO1197" s="166"/>
      <c r="WVJ1197" s="166"/>
      <c r="WVK1197" s="166"/>
    </row>
    <row r="1198" spans="1:771 1026:1795 2050:2819 3074:3843 4098:4867 5122:5891 6146:6915 7170:7939 8194:8963 9218:9987 10242:11011 11266:12035 12290:13059 13314:14083 14338:15107 15362:16131" s="166" customFormat="1" ht="55.2" x14ac:dyDescent="0.25">
      <c r="A1198" s="164">
        <v>111</v>
      </c>
      <c r="B1198" s="181" t="s">
        <v>917</v>
      </c>
      <c r="C1198" s="78" t="s">
        <v>918</v>
      </c>
      <c r="D1198" s="79" t="s">
        <v>13</v>
      </c>
      <c r="E1198" s="80">
        <v>12.9</v>
      </c>
      <c r="F1198" s="81"/>
      <c r="G1198" s="33"/>
      <c r="H1198" s="34" t="s">
        <v>2177</v>
      </c>
    </row>
    <row r="1199" spans="1:771 1026:1795 2050:2819 3074:3843 4098:4867 5122:5891 6146:6915 7170:7939 8194:8963 9218:9987 10242:11011 11266:12035 12290:13059 13314:14083 14338:15107 15362:16131" s="166" customFormat="1" x14ac:dyDescent="0.25">
      <c r="A1199" s="167"/>
      <c r="B1199" s="168" t="s">
        <v>919</v>
      </c>
      <c r="C1199" s="38" t="s">
        <v>14</v>
      </c>
      <c r="D1199" s="76"/>
      <c r="E1199" s="73"/>
      <c r="F1199" s="74"/>
      <c r="G1199" s="41">
        <f>SUM(G1200)</f>
        <v>134211600</v>
      </c>
      <c r="H1199" s="42"/>
    </row>
    <row r="1200" spans="1:771 1026:1795 2050:2819 3074:3843 4098:4867 5122:5891 6146:6915 7170:7939 8194:8963 9218:9987 10242:11011 11266:12035 12290:13059 13314:14083 14338:15107 15362:16131" s="166" customFormat="1" ht="55.2" x14ac:dyDescent="0.25">
      <c r="A1200" s="167"/>
      <c r="B1200" s="168" t="s">
        <v>920</v>
      </c>
      <c r="C1200" s="105" t="s">
        <v>55</v>
      </c>
      <c r="D1200" s="76" t="s">
        <v>13</v>
      </c>
      <c r="E1200" s="73">
        <v>12.9</v>
      </c>
      <c r="F1200" s="153">
        <v>10404000</v>
      </c>
      <c r="G1200" s="40">
        <f>E1200*F1200</f>
        <v>134211600</v>
      </c>
      <c r="H1200" s="42"/>
    </row>
    <row r="1201" spans="1:771 1026:1795 2050:2819 3074:3843 4098:4867 5122:5891 6146:6915 7170:7939 8194:8963 9218:9987 10242:11011 11266:12035 12290:13059 13314:14083 14338:15107 15362:16131" s="166" customFormat="1" x14ac:dyDescent="0.25">
      <c r="A1201" s="167"/>
      <c r="B1201" s="169" t="s">
        <v>921</v>
      </c>
      <c r="C1201" s="47" t="s">
        <v>35</v>
      </c>
      <c r="D1201" s="76"/>
      <c r="E1201" s="73"/>
      <c r="F1201" s="74"/>
      <c r="G1201" s="41">
        <f>SUM(G1202:G1205)</f>
        <v>15283434</v>
      </c>
      <c r="H1201" s="45"/>
    </row>
    <row r="1202" spans="1:771 1026:1795 2050:2819 3074:3843 4098:4867 5122:5891 6146:6915 7170:7939 8194:8963 9218:9987 10242:11011 11266:12035 12290:13059 13314:14083 14338:15107 15362:16131" s="166" customFormat="1" ht="93.6" x14ac:dyDescent="0.25">
      <c r="A1202" s="167"/>
      <c r="B1202" s="169"/>
      <c r="C1202" s="66" t="s">
        <v>922</v>
      </c>
      <c r="D1202" s="76" t="s">
        <v>891</v>
      </c>
      <c r="E1202" s="73">
        <v>7.68</v>
      </c>
      <c r="F1202" s="74">
        <f>3592000*40%</f>
        <v>1436800</v>
      </c>
      <c r="G1202" s="40">
        <f>E1202*F1202</f>
        <v>11034624</v>
      </c>
      <c r="H1202" s="35" t="s">
        <v>2374</v>
      </c>
    </row>
    <row r="1203" spans="1:771 1026:1795 2050:2819 3074:3843 4098:4867 5122:5891 6146:6915 7170:7939 8194:8963 9218:9987 10242:11011 11266:12035 12290:13059 13314:14083 14338:15107 15362:16131" s="166" customFormat="1" ht="62.4" x14ac:dyDescent="0.25">
      <c r="A1203" s="167"/>
      <c r="B1203" s="169"/>
      <c r="C1203" s="66" t="s">
        <v>923</v>
      </c>
      <c r="D1203" s="76" t="s">
        <v>891</v>
      </c>
      <c r="E1203" s="73">
        <f>(6*4.55)-(16.59)</f>
        <v>10.709999999999997</v>
      </c>
      <c r="F1203" s="74">
        <f>540000*40%</f>
        <v>216000</v>
      </c>
      <c r="G1203" s="40">
        <f>E1203*F1203</f>
        <v>2313359.9999999995</v>
      </c>
      <c r="H1203" s="35" t="s">
        <v>2374</v>
      </c>
    </row>
    <row r="1204" spans="1:771 1026:1795 2050:2819 3074:3843 4098:4867 5122:5891 6146:6915 7170:7939 8194:8963 9218:9987 10242:11011 11266:12035 12290:13059 13314:14083 14338:15107 15362:16131" s="166" customFormat="1" x14ac:dyDescent="0.25">
      <c r="A1204" s="167"/>
      <c r="B1204" s="169"/>
      <c r="C1204" s="66" t="s">
        <v>189</v>
      </c>
      <c r="D1204" s="76" t="s">
        <v>924</v>
      </c>
      <c r="E1204" s="73">
        <v>0.85</v>
      </c>
      <c r="F1204" s="40">
        <v>1421000</v>
      </c>
      <c r="G1204" s="40">
        <f>E1204*F1204</f>
        <v>1207850</v>
      </c>
      <c r="H1204" s="45"/>
    </row>
    <row r="1205" spans="1:771 1026:1795 2050:2819 3074:3843 4098:4867 5122:5891 6146:6915 7170:7939 8194:8963 9218:9987 10242:11011 11266:12035 12290:13059 13314:14083 14338:15107 15362:16131" s="166" customFormat="1" x14ac:dyDescent="0.25">
      <c r="A1205" s="167"/>
      <c r="B1205" s="169"/>
      <c r="C1205" s="66" t="s">
        <v>190</v>
      </c>
      <c r="D1205" s="76" t="s">
        <v>891</v>
      </c>
      <c r="E1205" s="73">
        <v>6.8</v>
      </c>
      <c r="F1205" s="74">
        <v>107000</v>
      </c>
      <c r="G1205" s="40">
        <f>E1205*F1205</f>
        <v>727600</v>
      </c>
      <c r="H1205" s="45"/>
    </row>
    <row r="1206" spans="1:771 1026:1795 2050:2819 3074:3843 4098:4867 5122:5891 6146:6915 7170:7939 8194:8963 9218:9987 10242:11011 11266:12035 12290:13059 13314:14083 14338:15107 15362:16131" s="166" customFormat="1" x14ac:dyDescent="0.25">
      <c r="A1206" s="167"/>
      <c r="B1206" s="169"/>
      <c r="C1206" s="51" t="s">
        <v>23</v>
      </c>
      <c r="D1206" s="76"/>
      <c r="E1206" s="3"/>
      <c r="F1206" s="4"/>
      <c r="G1206" s="41">
        <f>SUM(G1207)</f>
        <v>3060000</v>
      </c>
      <c r="H1206" s="52"/>
    </row>
    <row r="1207" spans="1:771 1026:1795 2050:2819 3074:3843 4098:4867 5122:5891 6146:6915 7170:7939 8194:8963 9218:9987 10242:11011 11266:12035 12290:13059 13314:14083 14338:15107 15362:16131" s="166" customFormat="1" x14ac:dyDescent="0.25">
      <c r="A1207" s="167"/>
      <c r="B1207" s="169"/>
      <c r="C1207" s="75" t="s">
        <v>24</v>
      </c>
      <c r="D1207" s="76" t="s">
        <v>25</v>
      </c>
      <c r="E1207" s="3">
        <f>1*30*6</f>
        <v>180</v>
      </c>
      <c r="F1207" s="4">
        <v>17000</v>
      </c>
      <c r="G1207" s="40">
        <f>E1207*F1207</f>
        <v>3060000</v>
      </c>
      <c r="H1207" s="42"/>
    </row>
    <row r="1208" spans="1:771 1026:1795 2050:2819 3074:3843 4098:4867 5122:5891 6146:6915 7170:7939 8194:8963 9218:9987 10242:11011 11266:12035 12290:13059 13314:14083 14338:15107 15362:16131" s="35" customFormat="1" ht="65.400000000000006" thickBot="1" x14ac:dyDescent="0.35">
      <c r="A1208" s="53"/>
      <c r="B1208" s="54"/>
      <c r="C1208" s="55" t="s">
        <v>2331</v>
      </c>
      <c r="D1208" s="56"/>
      <c r="E1208" s="5"/>
      <c r="F1208" s="6"/>
      <c r="G1208" s="57"/>
      <c r="H1208" s="58"/>
    </row>
    <row r="1209" spans="1:771 1026:1795 2050:2819 3074:3843 4098:4867 5122:5891 6146:6915 7170:7939 8194:8963 9218:9987 10242:11011 11266:12035 12290:13059 13314:14083 14338:15107 15362:16131" s="172" customFormat="1" ht="31.8" thickBot="1" x14ac:dyDescent="0.3">
      <c r="A1209" s="154"/>
      <c r="B1209" s="155" t="s">
        <v>26</v>
      </c>
      <c r="C1209" s="156"/>
      <c r="D1209" s="154"/>
      <c r="E1209" s="157"/>
      <c r="F1209" s="158"/>
      <c r="G1209" s="159">
        <f>SUM(G1198:G1208)/2</f>
        <v>152555034</v>
      </c>
      <c r="H1209" s="160"/>
      <c r="IX1209" s="166"/>
      <c r="IY1209" s="166"/>
      <c r="ST1209" s="166"/>
      <c r="SU1209" s="166"/>
      <c r="ACP1209" s="166"/>
      <c r="ACQ1209" s="166"/>
      <c r="AML1209" s="166"/>
      <c r="AMM1209" s="166"/>
      <c r="AWH1209" s="166"/>
      <c r="AWI1209" s="166"/>
      <c r="BGD1209" s="166"/>
      <c r="BGE1209" s="166"/>
      <c r="BPZ1209" s="166"/>
      <c r="BQA1209" s="166"/>
      <c r="BZV1209" s="166"/>
      <c r="BZW1209" s="166"/>
      <c r="CJR1209" s="166"/>
      <c r="CJS1209" s="166"/>
      <c r="CTN1209" s="166"/>
      <c r="CTO1209" s="166"/>
      <c r="DDJ1209" s="166"/>
      <c r="DDK1209" s="166"/>
      <c r="DNF1209" s="166"/>
      <c r="DNG1209" s="166"/>
      <c r="DXB1209" s="166"/>
      <c r="DXC1209" s="166"/>
      <c r="EGX1209" s="166"/>
      <c r="EGY1209" s="166"/>
      <c r="EQT1209" s="166"/>
      <c r="EQU1209" s="166"/>
      <c r="FAP1209" s="166"/>
      <c r="FAQ1209" s="166"/>
      <c r="FKL1209" s="166"/>
      <c r="FKM1209" s="166"/>
      <c r="FUH1209" s="166"/>
      <c r="FUI1209" s="166"/>
      <c r="GED1209" s="166"/>
      <c r="GEE1209" s="166"/>
      <c r="GNZ1209" s="166"/>
      <c r="GOA1209" s="166"/>
      <c r="GXV1209" s="166"/>
      <c r="GXW1209" s="166"/>
      <c r="HHR1209" s="166"/>
      <c r="HHS1209" s="166"/>
      <c r="HRN1209" s="166"/>
      <c r="HRO1209" s="166"/>
      <c r="IBJ1209" s="166"/>
      <c r="IBK1209" s="166"/>
      <c r="ILF1209" s="166"/>
      <c r="ILG1209" s="166"/>
      <c r="IVB1209" s="166"/>
      <c r="IVC1209" s="166"/>
      <c r="JEX1209" s="166"/>
      <c r="JEY1209" s="166"/>
      <c r="JOT1209" s="166"/>
      <c r="JOU1209" s="166"/>
      <c r="JYP1209" s="166"/>
      <c r="JYQ1209" s="166"/>
      <c r="KIL1209" s="166"/>
      <c r="KIM1209" s="166"/>
      <c r="KSH1209" s="166"/>
      <c r="KSI1209" s="166"/>
      <c r="LCD1209" s="166"/>
      <c r="LCE1209" s="166"/>
      <c r="LLZ1209" s="166"/>
      <c r="LMA1209" s="166"/>
      <c r="LVV1209" s="166"/>
      <c r="LVW1209" s="166"/>
      <c r="MFR1209" s="166"/>
      <c r="MFS1209" s="166"/>
      <c r="MPN1209" s="166"/>
      <c r="MPO1209" s="166"/>
      <c r="MZJ1209" s="166"/>
      <c r="MZK1209" s="166"/>
      <c r="NJF1209" s="166"/>
      <c r="NJG1209" s="166"/>
      <c r="NTB1209" s="166"/>
      <c r="NTC1209" s="166"/>
      <c r="OCX1209" s="166"/>
      <c r="OCY1209" s="166"/>
      <c r="OMT1209" s="166"/>
      <c r="OMU1209" s="166"/>
      <c r="OWP1209" s="166"/>
      <c r="OWQ1209" s="166"/>
      <c r="PGL1209" s="166"/>
      <c r="PGM1209" s="166"/>
      <c r="PQH1209" s="166"/>
      <c r="PQI1209" s="166"/>
      <c r="QAD1209" s="166"/>
      <c r="QAE1209" s="166"/>
      <c r="QJZ1209" s="166"/>
      <c r="QKA1209" s="166"/>
      <c r="QTV1209" s="166"/>
      <c r="QTW1209" s="166"/>
      <c r="RDR1209" s="166"/>
      <c r="RDS1209" s="166"/>
      <c r="RNN1209" s="166"/>
      <c r="RNO1209" s="166"/>
      <c r="RXJ1209" s="166"/>
      <c r="RXK1209" s="166"/>
      <c r="SHF1209" s="166"/>
      <c r="SHG1209" s="166"/>
      <c r="SRB1209" s="166"/>
      <c r="SRC1209" s="166"/>
      <c r="TAX1209" s="166"/>
      <c r="TAY1209" s="166"/>
      <c r="TKT1209" s="166"/>
      <c r="TKU1209" s="166"/>
      <c r="TUP1209" s="166"/>
      <c r="TUQ1209" s="166"/>
      <c r="UEL1209" s="166"/>
      <c r="UEM1209" s="166"/>
      <c r="UOH1209" s="166"/>
      <c r="UOI1209" s="166"/>
      <c r="UYD1209" s="166"/>
      <c r="UYE1209" s="166"/>
      <c r="VHZ1209" s="166"/>
      <c r="VIA1209" s="166"/>
      <c r="VRV1209" s="166"/>
      <c r="VRW1209" s="166"/>
      <c r="WBR1209" s="166"/>
      <c r="WBS1209" s="166"/>
      <c r="WLN1209" s="166"/>
      <c r="WLO1209" s="166"/>
      <c r="WVJ1209" s="166"/>
      <c r="WVK1209" s="166"/>
    </row>
    <row r="1210" spans="1:771 1026:1795 2050:2819 3074:3843 4098:4867 5122:5891 6146:6915 7170:7939 8194:8963 9218:9987 10242:11011 11266:12035 12290:13059 13314:14083 14338:15107 15362:16131" s="166" customFormat="1" ht="55.2" x14ac:dyDescent="0.25">
      <c r="A1210" s="28">
        <v>112</v>
      </c>
      <c r="B1210" s="60" t="s">
        <v>925</v>
      </c>
      <c r="C1210" s="78" t="s">
        <v>926</v>
      </c>
      <c r="D1210" s="79" t="s">
        <v>13</v>
      </c>
      <c r="E1210" s="80">
        <v>9</v>
      </c>
      <c r="F1210" s="81"/>
      <c r="G1210" s="33"/>
      <c r="H1210" s="34" t="s">
        <v>927</v>
      </c>
    </row>
    <row r="1211" spans="1:771 1026:1795 2050:2819 3074:3843 4098:4867 5122:5891 6146:6915 7170:7939 8194:8963 9218:9987 10242:11011 11266:12035 12290:13059 13314:14083 14338:15107 15362:16131" s="166" customFormat="1" x14ac:dyDescent="0.25">
      <c r="A1211" s="36"/>
      <c r="B1211" s="106" t="s">
        <v>928</v>
      </c>
      <c r="C1211" s="38" t="s">
        <v>14</v>
      </c>
      <c r="D1211" s="76"/>
      <c r="E1211" s="73"/>
      <c r="F1211" s="74"/>
      <c r="G1211" s="41">
        <f>SUM(G1212)</f>
        <v>93636000</v>
      </c>
      <c r="H1211" s="42"/>
    </row>
    <row r="1212" spans="1:771 1026:1795 2050:2819 3074:3843 4098:4867 5122:5891 6146:6915 7170:7939 8194:8963 9218:9987 10242:11011 11266:12035 12290:13059 13314:14083 14338:15107 15362:16131" s="166" customFormat="1" ht="62.4" x14ac:dyDescent="0.25">
      <c r="A1212" s="36"/>
      <c r="B1212" s="106" t="s">
        <v>929</v>
      </c>
      <c r="C1212" s="105" t="s">
        <v>55</v>
      </c>
      <c r="D1212" s="76" t="s">
        <v>13</v>
      </c>
      <c r="E1212" s="73">
        <v>9</v>
      </c>
      <c r="F1212" s="153">
        <v>10404000</v>
      </c>
      <c r="G1212" s="40">
        <f>E1212*F1212</f>
        <v>93636000</v>
      </c>
      <c r="H1212" s="42"/>
    </row>
    <row r="1213" spans="1:771 1026:1795 2050:2819 3074:3843 4098:4867 5122:5891 6146:6915 7170:7939 8194:8963 9218:9987 10242:11011 11266:12035 12290:13059 13314:14083 14338:15107 15362:16131" s="166" customFormat="1" ht="31.2" x14ac:dyDescent="0.25">
      <c r="A1213" s="36"/>
      <c r="B1213" s="106" t="s">
        <v>921</v>
      </c>
      <c r="C1213" s="51" t="s">
        <v>23</v>
      </c>
      <c r="D1213" s="76"/>
      <c r="E1213" s="3"/>
      <c r="F1213" s="4"/>
      <c r="G1213" s="41">
        <f>SUM(G1214)</f>
        <v>3060000</v>
      </c>
      <c r="H1213" s="52"/>
    </row>
    <row r="1214" spans="1:771 1026:1795 2050:2819 3074:3843 4098:4867 5122:5891 6146:6915 7170:7939 8194:8963 9218:9987 10242:11011 11266:12035 12290:13059 13314:14083 14338:15107 15362:16131" s="166" customFormat="1" x14ac:dyDescent="0.25">
      <c r="A1214" s="36"/>
      <c r="B1214" s="37"/>
      <c r="C1214" s="75" t="s">
        <v>24</v>
      </c>
      <c r="D1214" s="76" t="s">
        <v>25</v>
      </c>
      <c r="E1214" s="3">
        <f>1*30*6</f>
        <v>180</v>
      </c>
      <c r="F1214" s="4">
        <v>17000</v>
      </c>
      <c r="G1214" s="40">
        <f>E1214*F1214</f>
        <v>3060000</v>
      </c>
      <c r="H1214" s="42"/>
    </row>
    <row r="1215" spans="1:771 1026:1795 2050:2819 3074:3843 4098:4867 5122:5891 6146:6915 7170:7939 8194:8963 9218:9987 10242:11011 11266:12035 12290:13059 13314:14083 14338:15107 15362:16131" s="35" customFormat="1" ht="65.400000000000006" thickBot="1" x14ac:dyDescent="0.35">
      <c r="A1215" s="53"/>
      <c r="B1215" s="54"/>
      <c r="C1215" s="55" t="s">
        <v>2331</v>
      </c>
      <c r="D1215" s="56"/>
      <c r="E1215" s="5"/>
      <c r="F1215" s="6"/>
      <c r="G1215" s="57"/>
      <c r="H1215" s="58"/>
    </row>
    <row r="1216" spans="1:771 1026:1795 2050:2819 3074:3843 4098:4867 5122:5891 6146:6915 7170:7939 8194:8963 9218:9987 10242:11011 11266:12035 12290:13059 13314:14083 14338:15107 15362:16131" s="172" customFormat="1" ht="31.8" thickBot="1" x14ac:dyDescent="0.3">
      <c r="A1216" s="154"/>
      <c r="B1216" s="155" t="s">
        <v>26</v>
      </c>
      <c r="C1216" s="156"/>
      <c r="D1216" s="154"/>
      <c r="E1216" s="157"/>
      <c r="F1216" s="158"/>
      <c r="G1216" s="159">
        <f>SUM(G1210:G1215)/2</f>
        <v>96696000</v>
      </c>
      <c r="H1216" s="160"/>
      <c r="IX1216" s="166"/>
      <c r="IY1216" s="166"/>
      <c r="ST1216" s="166"/>
      <c r="SU1216" s="166"/>
      <c r="ACP1216" s="166"/>
      <c r="ACQ1216" s="166"/>
      <c r="AML1216" s="166"/>
      <c r="AMM1216" s="166"/>
      <c r="AWH1216" s="166"/>
      <c r="AWI1216" s="166"/>
      <c r="BGD1216" s="166"/>
      <c r="BGE1216" s="166"/>
      <c r="BPZ1216" s="166"/>
      <c r="BQA1216" s="166"/>
      <c r="BZV1216" s="166"/>
      <c r="BZW1216" s="166"/>
      <c r="CJR1216" s="166"/>
      <c r="CJS1216" s="166"/>
      <c r="CTN1216" s="166"/>
      <c r="CTO1216" s="166"/>
      <c r="DDJ1216" s="166"/>
      <c r="DDK1216" s="166"/>
      <c r="DNF1216" s="166"/>
      <c r="DNG1216" s="166"/>
      <c r="DXB1216" s="166"/>
      <c r="DXC1216" s="166"/>
      <c r="EGX1216" s="166"/>
      <c r="EGY1216" s="166"/>
      <c r="EQT1216" s="166"/>
      <c r="EQU1216" s="166"/>
      <c r="FAP1216" s="166"/>
      <c r="FAQ1216" s="166"/>
      <c r="FKL1216" s="166"/>
      <c r="FKM1216" s="166"/>
      <c r="FUH1216" s="166"/>
      <c r="FUI1216" s="166"/>
      <c r="GED1216" s="166"/>
      <c r="GEE1216" s="166"/>
      <c r="GNZ1216" s="166"/>
      <c r="GOA1216" s="166"/>
      <c r="GXV1216" s="166"/>
      <c r="GXW1216" s="166"/>
      <c r="HHR1216" s="166"/>
      <c r="HHS1216" s="166"/>
      <c r="HRN1216" s="166"/>
      <c r="HRO1216" s="166"/>
      <c r="IBJ1216" s="166"/>
      <c r="IBK1216" s="166"/>
      <c r="ILF1216" s="166"/>
      <c r="ILG1216" s="166"/>
      <c r="IVB1216" s="166"/>
      <c r="IVC1216" s="166"/>
      <c r="JEX1216" s="166"/>
      <c r="JEY1216" s="166"/>
      <c r="JOT1216" s="166"/>
      <c r="JOU1216" s="166"/>
      <c r="JYP1216" s="166"/>
      <c r="JYQ1216" s="166"/>
      <c r="KIL1216" s="166"/>
      <c r="KIM1216" s="166"/>
      <c r="KSH1216" s="166"/>
      <c r="KSI1216" s="166"/>
      <c r="LCD1216" s="166"/>
      <c r="LCE1216" s="166"/>
      <c r="LLZ1216" s="166"/>
      <c r="LMA1216" s="166"/>
      <c r="LVV1216" s="166"/>
      <c r="LVW1216" s="166"/>
      <c r="MFR1216" s="166"/>
      <c r="MFS1216" s="166"/>
      <c r="MPN1216" s="166"/>
      <c r="MPO1216" s="166"/>
      <c r="MZJ1216" s="166"/>
      <c r="MZK1216" s="166"/>
      <c r="NJF1216" s="166"/>
      <c r="NJG1216" s="166"/>
      <c r="NTB1216" s="166"/>
      <c r="NTC1216" s="166"/>
      <c r="OCX1216" s="166"/>
      <c r="OCY1216" s="166"/>
      <c r="OMT1216" s="166"/>
      <c r="OMU1216" s="166"/>
      <c r="OWP1216" s="166"/>
      <c r="OWQ1216" s="166"/>
      <c r="PGL1216" s="166"/>
      <c r="PGM1216" s="166"/>
      <c r="PQH1216" s="166"/>
      <c r="PQI1216" s="166"/>
      <c r="QAD1216" s="166"/>
      <c r="QAE1216" s="166"/>
      <c r="QJZ1216" s="166"/>
      <c r="QKA1216" s="166"/>
      <c r="QTV1216" s="166"/>
      <c r="QTW1216" s="166"/>
      <c r="RDR1216" s="166"/>
      <c r="RDS1216" s="166"/>
      <c r="RNN1216" s="166"/>
      <c r="RNO1216" s="166"/>
      <c r="RXJ1216" s="166"/>
      <c r="RXK1216" s="166"/>
      <c r="SHF1216" s="166"/>
      <c r="SHG1216" s="166"/>
      <c r="SRB1216" s="166"/>
      <c r="SRC1216" s="166"/>
      <c r="TAX1216" s="166"/>
      <c r="TAY1216" s="166"/>
      <c r="TKT1216" s="166"/>
      <c r="TKU1216" s="166"/>
      <c r="TUP1216" s="166"/>
      <c r="TUQ1216" s="166"/>
      <c r="UEL1216" s="166"/>
      <c r="UEM1216" s="166"/>
      <c r="UOH1216" s="166"/>
      <c r="UOI1216" s="166"/>
      <c r="UYD1216" s="166"/>
      <c r="UYE1216" s="166"/>
      <c r="VHZ1216" s="166"/>
      <c r="VIA1216" s="166"/>
      <c r="VRV1216" s="166"/>
      <c r="VRW1216" s="166"/>
      <c r="WBR1216" s="166"/>
      <c r="WBS1216" s="166"/>
      <c r="WLN1216" s="166"/>
      <c r="WLO1216" s="166"/>
      <c r="WVJ1216" s="166"/>
      <c r="WVK1216" s="166"/>
    </row>
    <row r="1217" spans="1:771 1026:1795 2050:2819 3074:3843 4098:4867 5122:5891 6146:6915 7170:7939 8194:8963 9218:9987 10242:11011 11266:12035 12290:13059 13314:14083 14338:15107 15362:16131" s="166" customFormat="1" ht="55.2" x14ac:dyDescent="0.25">
      <c r="A1217" s="164">
        <v>113</v>
      </c>
      <c r="B1217" s="165" t="s">
        <v>949</v>
      </c>
      <c r="C1217" s="78" t="s">
        <v>950</v>
      </c>
      <c r="D1217" s="79" t="s">
        <v>13</v>
      </c>
      <c r="E1217" s="80">
        <v>16.399999999999999</v>
      </c>
      <c r="F1217" s="81"/>
      <c r="G1217" s="33"/>
      <c r="H1217" s="34" t="s">
        <v>951</v>
      </c>
    </row>
    <row r="1218" spans="1:771 1026:1795 2050:2819 3074:3843 4098:4867 5122:5891 6146:6915 7170:7939 8194:8963 9218:9987 10242:11011 11266:12035 12290:13059 13314:14083 14338:15107 15362:16131" s="166" customFormat="1" ht="27.6" x14ac:dyDescent="0.25">
      <c r="A1218" s="167"/>
      <c r="B1218" s="168" t="s">
        <v>952</v>
      </c>
      <c r="C1218" s="38" t="s">
        <v>14</v>
      </c>
      <c r="D1218" s="76"/>
      <c r="E1218" s="73"/>
      <c r="F1218" s="74"/>
      <c r="G1218" s="41">
        <f>SUM(G1219)</f>
        <v>319455600</v>
      </c>
      <c r="H1218" s="42"/>
    </row>
    <row r="1219" spans="1:771 1026:1795 2050:2819 3074:3843 4098:4867 5122:5891 6146:6915 7170:7939 8194:8963 9218:9987 10242:11011 11266:12035 12290:13059 13314:14083 14338:15107 15362:16131" s="166" customFormat="1" ht="55.8" x14ac:dyDescent="0.3">
      <c r="A1219" s="167"/>
      <c r="B1219" s="168" t="s">
        <v>953</v>
      </c>
      <c r="C1219" s="48" t="s">
        <v>38</v>
      </c>
      <c r="D1219" s="76" t="s">
        <v>13</v>
      </c>
      <c r="E1219" s="73">
        <v>16.399999999999999</v>
      </c>
      <c r="F1219" s="161">
        <v>19479000</v>
      </c>
      <c r="G1219" s="40">
        <f>E1219*F1219</f>
        <v>319455600</v>
      </c>
      <c r="H1219" s="42"/>
    </row>
    <row r="1220" spans="1:771 1026:1795 2050:2819 3074:3843 4098:4867 5122:5891 6146:6915 7170:7939 8194:8963 9218:9987 10242:11011 11266:12035 12290:13059 13314:14083 14338:15107 15362:16131" s="166" customFormat="1" x14ac:dyDescent="0.25">
      <c r="A1220" s="167"/>
      <c r="B1220" s="169" t="s">
        <v>954</v>
      </c>
      <c r="C1220" s="47" t="s">
        <v>35</v>
      </c>
      <c r="D1220" s="76"/>
      <c r="E1220" s="73"/>
      <c r="F1220" s="74"/>
      <c r="G1220" s="41">
        <f>SUM(G1221:G1223)</f>
        <v>14856576</v>
      </c>
      <c r="H1220" s="45"/>
    </row>
    <row r="1221" spans="1:771 1026:1795 2050:2819 3074:3843 4098:4867 5122:5891 6146:6915 7170:7939 8194:8963 9218:9987 10242:11011 11266:12035 12290:13059 13314:14083 14338:15107 15362:16131" s="166" customFormat="1" ht="78" x14ac:dyDescent="0.25">
      <c r="A1221" s="167"/>
      <c r="B1221" s="169"/>
      <c r="C1221" s="66" t="s">
        <v>955</v>
      </c>
      <c r="D1221" s="76" t="s">
        <v>891</v>
      </c>
      <c r="E1221" s="73">
        <f>(2.08*4)</f>
        <v>8.32</v>
      </c>
      <c r="F1221" s="74">
        <f>3592000*40%</f>
        <v>1436800</v>
      </c>
      <c r="G1221" s="40">
        <f>E1221*F1221</f>
        <v>11954176</v>
      </c>
      <c r="H1221" s="45" t="s">
        <v>2464</v>
      </c>
    </row>
    <row r="1222" spans="1:771 1026:1795 2050:2819 3074:3843 4098:4867 5122:5891 6146:6915 7170:7939 8194:8963 9218:9987 10242:11011 11266:12035 12290:13059 13314:14083 14338:15107 15362:16131" s="166" customFormat="1" ht="78" x14ac:dyDescent="0.25">
      <c r="A1222" s="167"/>
      <c r="B1222" s="169"/>
      <c r="C1222" s="66" t="s">
        <v>956</v>
      </c>
      <c r="D1222" s="76" t="s">
        <v>891</v>
      </c>
      <c r="E1222" s="73">
        <f>(2*4)</f>
        <v>8</v>
      </c>
      <c r="F1222" s="74">
        <f>907000*40%</f>
        <v>362800</v>
      </c>
      <c r="G1222" s="40">
        <f>E1222*F1222</f>
        <v>2902400</v>
      </c>
      <c r="H1222" s="45" t="s">
        <v>2465</v>
      </c>
    </row>
    <row r="1223" spans="1:771 1026:1795 2050:2819 3074:3843 4098:4867 5122:5891 6146:6915 7170:7939 8194:8963 9218:9987 10242:11011 11266:12035 12290:13059 13314:14083 14338:15107 15362:16131" s="35" customFormat="1" ht="65.400000000000006" thickBot="1" x14ac:dyDescent="0.35">
      <c r="A1223" s="53"/>
      <c r="B1223" s="54"/>
      <c r="C1223" s="55" t="s">
        <v>2331</v>
      </c>
      <c r="D1223" s="56"/>
      <c r="E1223" s="5"/>
      <c r="F1223" s="6"/>
      <c r="G1223" s="57"/>
      <c r="H1223" s="58"/>
    </row>
    <row r="1224" spans="1:771 1026:1795 2050:2819 3074:3843 4098:4867 5122:5891 6146:6915 7170:7939 8194:8963 9218:9987 10242:11011 11266:12035 12290:13059 13314:14083 14338:15107 15362:16131" s="172" customFormat="1" ht="31.8" thickBot="1" x14ac:dyDescent="0.3">
      <c r="A1224" s="154"/>
      <c r="B1224" s="155" t="s">
        <v>26</v>
      </c>
      <c r="C1224" s="156"/>
      <c r="D1224" s="154"/>
      <c r="E1224" s="157"/>
      <c r="F1224" s="158"/>
      <c r="G1224" s="159">
        <f>SUM(G1217:G1223)/2</f>
        <v>334312176</v>
      </c>
      <c r="H1224" s="160"/>
      <c r="IX1224" s="166"/>
      <c r="IY1224" s="166"/>
      <c r="ST1224" s="166"/>
      <c r="SU1224" s="166"/>
      <c r="ACP1224" s="166"/>
      <c r="ACQ1224" s="166"/>
      <c r="AML1224" s="166"/>
      <c r="AMM1224" s="166"/>
      <c r="AWH1224" s="166"/>
      <c r="AWI1224" s="166"/>
      <c r="BGD1224" s="166"/>
      <c r="BGE1224" s="166"/>
      <c r="BPZ1224" s="166"/>
      <c r="BQA1224" s="166"/>
      <c r="BZV1224" s="166"/>
      <c r="BZW1224" s="166"/>
      <c r="CJR1224" s="166"/>
      <c r="CJS1224" s="166"/>
      <c r="CTN1224" s="166"/>
      <c r="CTO1224" s="166"/>
      <c r="DDJ1224" s="166"/>
      <c r="DDK1224" s="166"/>
      <c r="DNF1224" s="166"/>
      <c r="DNG1224" s="166"/>
      <c r="DXB1224" s="166"/>
      <c r="DXC1224" s="166"/>
      <c r="EGX1224" s="166"/>
      <c r="EGY1224" s="166"/>
      <c r="EQT1224" s="166"/>
      <c r="EQU1224" s="166"/>
      <c r="FAP1224" s="166"/>
      <c r="FAQ1224" s="166"/>
      <c r="FKL1224" s="166"/>
      <c r="FKM1224" s="166"/>
      <c r="FUH1224" s="166"/>
      <c r="FUI1224" s="166"/>
      <c r="GED1224" s="166"/>
      <c r="GEE1224" s="166"/>
      <c r="GNZ1224" s="166"/>
      <c r="GOA1224" s="166"/>
      <c r="GXV1224" s="166"/>
      <c r="GXW1224" s="166"/>
      <c r="HHR1224" s="166"/>
      <c r="HHS1224" s="166"/>
      <c r="HRN1224" s="166"/>
      <c r="HRO1224" s="166"/>
      <c r="IBJ1224" s="166"/>
      <c r="IBK1224" s="166"/>
      <c r="ILF1224" s="166"/>
      <c r="ILG1224" s="166"/>
      <c r="IVB1224" s="166"/>
      <c r="IVC1224" s="166"/>
      <c r="JEX1224" s="166"/>
      <c r="JEY1224" s="166"/>
      <c r="JOT1224" s="166"/>
      <c r="JOU1224" s="166"/>
      <c r="JYP1224" s="166"/>
      <c r="JYQ1224" s="166"/>
      <c r="KIL1224" s="166"/>
      <c r="KIM1224" s="166"/>
      <c r="KSH1224" s="166"/>
      <c r="KSI1224" s="166"/>
      <c r="LCD1224" s="166"/>
      <c r="LCE1224" s="166"/>
      <c r="LLZ1224" s="166"/>
      <c r="LMA1224" s="166"/>
      <c r="LVV1224" s="166"/>
      <c r="LVW1224" s="166"/>
      <c r="MFR1224" s="166"/>
      <c r="MFS1224" s="166"/>
      <c r="MPN1224" s="166"/>
      <c r="MPO1224" s="166"/>
      <c r="MZJ1224" s="166"/>
      <c r="MZK1224" s="166"/>
      <c r="NJF1224" s="166"/>
      <c r="NJG1224" s="166"/>
      <c r="NTB1224" s="166"/>
      <c r="NTC1224" s="166"/>
      <c r="OCX1224" s="166"/>
      <c r="OCY1224" s="166"/>
      <c r="OMT1224" s="166"/>
      <c r="OMU1224" s="166"/>
      <c r="OWP1224" s="166"/>
      <c r="OWQ1224" s="166"/>
      <c r="PGL1224" s="166"/>
      <c r="PGM1224" s="166"/>
      <c r="PQH1224" s="166"/>
      <c r="PQI1224" s="166"/>
      <c r="QAD1224" s="166"/>
      <c r="QAE1224" s="166"/>
      <c r="QJZ1224" s="166"/>
      <c r="QKA1224" s="166"/>
      <c r="QTV1224" s="166"/>
      <c r="QTW1224" s="166"/>
      <c r="RDR1224" s="166"/>
      <c r="RDS1224" s="166"/>
      <c r="RNN1224" s="166"/>
      <c r="RNO1224" s="166"/>
      <c r="RXJ1224" s="166"/>
      <c r="RXK1224" s="166"/>
      <c r="SHF1224" s="166"/>
      <c r="SHG1224" s="166"/>
      <c r="SRB1224" s="166"/>
      <c r="SRC1224" s="166"/>
      <c r="TAX1224" s="166"/>
      <c r="TAY1224" s="166"/>
      <c r="TKT1224" s="166"/>
      <c r="TKU1224" s="166"/>
      <c r="TUP1224" s="166"/>
      <c r="TUQ1224" s="166"/>
      <c r="UEL1224" s="166"/>
      <c r="UEM1224" s="166"/>
      <c r="UOH1224" s="166"/>
      <c r="UOI1224" s="166"/>
      <c r="UYD1224" s="166"/>
      <c r="UYE1224" s="166"/>
      <c r="VHZ1224" s="166"/>
      <c r="VIA1224" s="166"/>
      <c r="VRV1224" s="166"/>
      <c r="VRW1224" s="166"/>
      <c r="WBR1224" s="166"/>
      <c r="WBS1224" s="166"/>
      <c r="WLN1224" s="166"/>
      <c r="WLO1224" s="166"/>
      <c r="WVJ1224" s="166"/>
      <c r="WVK1224" s="166"/>
    </row>
    <row r="1225" spans="1:771 1026:1795 2050:2819 3074:3843 4098:4867 5122:5891 6146:6915 7170:7939 8194:8963 9218:9987 10242:11011 11266:12035 12290:13059 13314:14083 14338:15107 15362:16131" s="166" customFormat="1" ht="55.2" x14ac:dyDescent="0.25">
      <c r="A1225" s="164">
        <v>114</v>
      </c>
      <c r="B1225" s="181" t="s">
        <v>957</v>
      </c>
      <c r="C1225" s="78" t="s">
        <v>958</v>
      </c>
      <c r="D1225" s="79" t="s">
        <v>13</v>
      </c>
      <c r="E1225" s="80">
        <v>8.6999999999999993</v>
      </c>
      <c r="F1225" s="81"/>
      <c r="G1225" s="33"/>
      <c r="H1225" s="34" t="s">
        <v>959</v>
      </c>
    </row>
    <row r="1226" spans="1:771 1026:1795 2050:2819 3074:3843 4098:4867 5122:5891 6146:6915 7170:7939 8194:8963 9218:9987 10242:11011 11266:12035 12290:13059 13314:14083 14338:15107 15362:16131" s="166" customFormat="1" x14ac:dyDescent="0.25">
      <c r="A1226" s="167"/>
      <c r="B1226" s="168" t="s">
        <v>960</v>
      </c>
      <c r="C1226" s="38" t="s">
        <v>14</v>
      </c>
      <c r="D1226" s="76"/>
      <c r="E1226" s="73"/>
      <c r="F1226" s="74"/>
      <c r="G1226" s="41">
        <f>SUM(G1227)</f>
        <v>169467300</v>
      </c>
      <c r="H1226" s="42"/>
    </row>
    <row r="1227" spans="1:771 1026:1795 2050:2819 3074:3843 4098:4867 5122:5891 6146:6915 7170:7939 8194:8963 9218:9987 10242:11011 11266:12035 12290:13059 13314:14083 14338:15107 15362:16131" s="166" customFormat="1" ht="69" x14ac:dyDescent="0.25">
      <c r="A1227" s="167"/>
      <c r="B1227" s="168" t="s">
        <v>961</v>
      </c>
      <c r="C1227" s="48" t="s">
        <v>38</v>
      </c>
      <c r="D1227" s="76" t="s">
        <v>13</v>
      </c>
      <c r="E1227" s="73">
        <v>8.6999999999999993</v>
      </c>
      <c r="F1227" s="153">
        <v>19479000</v>
      </c>
      <c r="G1227" s="40">
        <f>E1227*F1227</f>
        <v>169467300</v>
      </c>
      <c r="H1227" s="42"/>
    </row>
    <row r="1228" spans="1:771 1026:1795 2050:2819 3074:3843 4098:4867 5122:5891 6146:6915 7170:7939 8194:8963 9218:9987 10242:11011 11266:12035 12290:13059 13314:14083 14338:15107 15362:16131" s="166" customFormat="1" x14ac:dyDescent="0.25">
      <c r="A1228" s="167"/>
      <c r="B1228" s="169" t="s">
        <v>962</v>
      </c>
      <c r="C1228" s="47" t="s">
        <v>35</v>
      </c>
      <c r="D1228" s="76"/>
      <c r="E1228" s="73"/>
      <c r="F1228" s="74"/>
      <c r="G1228" s="41">
        <f>SUM(G1229:G1231)</f>
        <v>8224008</v>
      </c>
      <c r="H1228" s="45"/>
    </row>
    <row r="1229" spans="1:771 1026:1795 2050:2819 3074:3843 4098:4867 5122:5891 6146:6915 7170:7939 8194:8963 9218:9987 10242:11011 11266:12035 12290:13059 13314:14083 14338:15107 15362:16131" s="166" customFormat="1" x14ac:dyDescent="0.25">
      <c r="A1229" s="167"/>
      <c r="B1229" s="169"/>
      <c r="C1229" s="66" t="s">
        <v>105</v>
      </c>
      <c r="D1229" s="76" t="s">
        <v>106</v>
      </c>
      <c r="E1229" s="73">
        <v>1</v>
      </c>
      <c r="F1229" s="74"/>
      <c r="G1229" s="40">
        <f>E1229*F1229</f>
        <v>0</v>
      </c>
      <c r="H1229" s="52" t="s">
        <v>2353</v>
      </c>
    </row>
    <row r="1230" spans="1:771 1026:1795 2050:2819 3074:3843 4098:4867 5122:5891 6146:6915 7170:7939 8194:8963 9218:9987 10242:11011 11266:12035 12290:13059 13314:14083 14338:15107 15362:16131" s="166" customFormat="1" ht="31.2" x14ac:dyDescent="0.25">
      <c r="A1230" s="167"/>
      <c r="B1230" s="169"/>
      <c r="C1230" s="66" t="s">
        <v>963</v>
      </c>
      <c r="D1230" s="76" t="s">
        <v>891</v>
      </c>
      <c r="E1230" s="73">
        <f>(2.3*2.5)</f>
        <v>5.75</v>
      </c>
      <c r="F1230" s="74">
        <v>1032000</v>
      </c>
      <c r="G1230" s="40">
        <f>E1230*F1230</f>
        <v>5934000</v>
      </c>
      <c r="H1230" s="45" t="s">
        <v>964</v>
      </c>
    </row>
    <row r="1231" spans="1:771 1026:1795 2050:2819 3074:3843 4098:4867 5122:5891 6146:6915 7170:7939 8194:8963 9218:9987 10242:11011 11266:12035 12290:13059 13314:14083 14338:15107 15362:16131" s="166" customFormat="1" x14ac:dyDescent="0.25">
      <c r="A1231" s="167"/>
      <c r="B1231" s="169"/>
      <c r="C1231" s="66" t="s">
        <v>469</v>
      </c>
      <c r="D1231" s="76" t="s">
        <v>891</v>
      </c>
      <c r="E1231" s="73">
        <f>2.8*3.17</f>
        <v>8.8759999999999994</v>
      </c>
      <c r="F1231" s="74">
        <v>258000</v>
      </c>
      <c r="G1231" s="40">
        <f>E1231*F1231</f>
        <v>2290008</v>
      </c>
      <c r="H1231" s="45"/>
    </row>
    <row r="1232" spans="1:771 1026:1795 2050:2819 3074:3843 4098:4867 5122:5891 6146:6915 7170:7939 8194:8963 9218:9987 10242:11011 11266:12035 12290:13059 13314:14083 14338:15107 15362:16131" s="35" customFormat="1" ht="65.400000000000006" thickBot="1" x14ac:dyDescent="0.35">
      <c r="A1232" s="53"/>
      <c r="B1232" s="54"/>
      <c r="C1232" s="55" t="s">
        <v>2331</v>
      </c>
      <c r="D1232" s="56"/>
      <c r="E1232" s="5"/>
      <c r="F1232" s="6"/>
      <c r="G1232" s="57"/>
      <c r="H1232" s="58"/>
    </row>
    <row r="1233" spans="1:771 1026:1795 2050:2819 3074:3843 4098:4867 5122:5891 6146:6915 7170:7939 8194:8963 9218:9987 10242:11011 11266:12035 12290:13059 13314:14083 14338:15107 15362:16131" s="172" customFormat="1" ht="31.8" thickBot="1" x14ac:dyDescent="0.3">
      <c r="A1233" s="154"/>
      <c r="B1233" s="155" t="s">
        <v>26</v>
      </c>
      <c r="C1233" s="156"/>
      <c r="D1233" s="154"/>
      <c r="E1233" s="157"/>
      <c r="F1233" s="158"/>
      <c r="G1233" s="159">
        <f>SUM(G1225:G1232)/2</f>
        <v>177691308</v>
      </c>
      <c r="H1233" s="160"/>
      <c r="IX1233" s="166"/>
      <c r="IY1233" s="166"/>
      <c r="ST1233" s="166"/>
      <c r="SU1233" s="166"/>
      <c r="ACP1233" s="166"/>
      <c r="ACQ1233" s="166"/>
      <c r="AML1233" s="166"/>
      <c r="AMM1233" s="166"/>
      <c r="AWH1233" s="166"/>
      <c r="AWI1233" s="166"/>
      <c r="BGD1233" s="166"/>
      <c r="BGE1233" s="166"/>
      <c r="BPZ1233" s="166"/>
      <c r="BQA1233" s="166"/>
      <c r="BZV1233" s="166"/>
      <c r="BZW1233" s="166"/>
      <c r="CJR1233" s="166"/>
      <c r="CJS1233" s="166"/>
      <c r="CTN1233" s="166"/>
      <c r="CTO1233" s="166"/>
      <c r="DDJ1233" s="166"/>
      <c r="DDK1233" s="166"/>
      <c r="DNF1233" s="166"/>
      <c r="DNG1233" s="166"/>
      <c r="DXB1233" s="166"/>
      <c r="DXC1233" s="166"/>
      <c r="EGX1233" s="166"/>
      <c r="EGY1233" s="166"/>
      <c r="EQT1233" s="166"/>
      <c r="EQU1233" s="166"/>
      <c r="FAP1233" s="166"/>
      <c r="FAQ1233" s="166"/>
      <c r="FKL1233" s="166"/>
      <c r="FKM1233" s="166"/>
      <c r="FUH1233" s="166"/>
      <c r="FUI1233" s="166"/>
      <c r="GED1233" s="166"/>
      <c r="GEE1233" s="166"/>
      <c r="GNZ1233" s="166"/>
      <c r="GOA1233" s="166"/>
      <c r="GXV1233" s="166"/>
      <c r="GXW1233" s="166"/>
      <c r="HHR1233" s="166"/>
      <c r="HHS1233" s="166"/>
      <c r="HRN1233" s="166"/>
      <c r="HRO1233" s="166"/>
      <c r="IBJ1233" s="166"/>
      <c r="IBK1233" s="166"/>
      <c r="ILF1233" s="166"/>
      <c r="ILG1233" s="166"/>
      <c r="IVB1233" s="166"/>
      <c r="IVC1233" s="166"/>
      <c r="JEX1233" s="166"/>
      <c r="JEY1233" s="166"/>
      <c r="JOT1233" s="166"/>
      <c r="JOU1233" s="166"/>
      <c r="JYP1233" s="166"/>
      <c r="JYQ1233" s="166"/>
      <c r="KIL1233" s="166"/>
      <c r="KIM1233" s="166"/>
      <c r="KSH1233" s="166"/>
      <c r="KSI1233" s="166"/>
      <c r="LCD1233" s="166"/>
      <c r="LCE1233" s="166"/>
      <c r="LLZ1233" s="166"/>
      <c r="LMA1233" s="166"/>
      <c r="LVV1233" s="166"/>
      <c r="LVW1233" s="166"/>
      <c r="MFR1233" s="166"/>
      <c r="MFS1233" s="166"/>
      <c r="MPN1233" s="166"/>
      <c r="MPO1233" s="166"/>
      <c r="MZJ1233" s="166"/>
      <c r="MZK1233" s="166"/>
      <c r="NJF1233" s="166"/>
      <c r="NJG1233" s="166"/>
      <c r="NTB1233" s="166"/>
      <c r="NTC1233" s="166"/>
      <c r="OCX1233" s="166"/>
      <c r="OCY1233" s="166"/>
      <c r="OMT1233" s="166"/>
      <c r="OMU1233" s="166"/>
      <c r="OWP1233" s="166"/>
      <c r="OWQ1233" s="166"/>
      <c r="PGL1233" s="166"/>
      <c r="PGM1233" s="166"/>
      <c r="PQH1233" s="166"/>
      <c r="PQI1233" s="166"/>
      <c r="QAD1233" s="166"/>
      <c r="QAE1233" s="166"/>
      <c r="QJZ1233" s="166"/>
      <c r="QKA1233" s="166"/>
      <c r="QTV1233" s="166"/>
      <c r="QTW1233" s="166"/>
      <c r="RDR1233" s="166"/>
      <c r="RDS1233" s="166"/>
      <c r="RNN1233" s="166"/>
      <c r="RNO1233" s="166"/>
      <c r="RXJ1233" s="166"/>
      <c r="RXK1233" s="166"/>
      <c r="SHF1233" s="166"/>
      <c r="SHG1233" s="166"/>
      <c r="SRB1233" s="166"/>
      <c r="SRC1233" s="166"/>
      <c r="TAX1233" s="166"/>
      <c r="TAY1233" s="166"/>
      <c r="TKT1233" s="166"/>
      <c r="TKU1233" s="166"/>
      <c r="TUP1233" s="166"/>
      <c r="TUQ1233" s="166"/>
      <c r="UEL1233" s="166"/>
      <c r="UEM1233" s="166"/>
      <c r="UOH1233" s="166"/>
      <c r="UOI1233" s="166"/>
      <c r="UYD1233" s="166"/>
      <c r="UYE1233" s="166"/>
      <c r="VHZ1233" s="166"/>
      <c r="VIA1233" s="166"/>
      <c r="VRV1233" s="166"/>
      <c r="VRW1233" s="166"/>
      <c r="WBR1233" s="166"/>
      <c r="WBS1233" s="166"/>
      <c r="WLN1233" s="166"/>
      <c r="WLO1233" s="166"/>
      <c r="WVJ1233" s="166"/>
      <c r="WVK1233" s="166"/>
    </row>
    <row r="1234" spans="1:771 1026:1795 2050:2819 3074:3843 4098:4867 5122:5891 6146:6915 7170:7939 8194:8963 9218:9987 10242:11011 11266:12035 12290:13059 13314:14083 14338:15107 15362:16131" s="166" customFormat="1" ht="55.2" x14ac:dyDescent="0.25">
      <c r="A1234" s="164">
        <v>115</v>
      </c>
      <c r="B1234" s="181" t="s">
        <v>965</v>
      </c>
      <c r="C1234" s="78" t="s">
        <v>966</v>
      </c>
      <c r="D1234" s="79" t="s">
        <v>13</v>
      </c>
      <c r="E1234" s="80">
        <v>8.1999999999999993</v>
      </c>
      <c r="F1234" s="81"/>
      <c r="G1234" s="33"/>
      <c r="H1234" s="34" t="s">
        <v>959</v>
      </c>
    </row>
    <row r="1235" spans="1:771 1026:1795 2050:2819 3074:3843 4098:4867 5122:5891 6146:6915 7170:7939 8194:8963 9218:9987 10242:11011 11266:12035 12290:13059 13314:14083 14338:15107 15362:16131" s="166" customFormat="1" ht="27.6" x14ac:dyDescent="0.25">
      <c r="A1235" s="167"/>
      <c r="B1235" s="168" t="s">
        <v>967</v>
      </c>
      <c r="C1235" s="38" t="s">
        <v>14</v>
      </c>
      <c r="D1235" s="76"/>
      <c r="E1235" s="73"/>
      <c r="F1235" s="74"/>
      <c r="G1235" s="41">
        <f>SUM(G1236)</f>
        <v>159727800</v>
      </c>
      <c r="H1235" s="42"/>
    </row>
    <row r="1236" spans="1:771 1026:1795 2050:2819 3074:3843 4098:4867 5122:5891 6146:6915 7170:7939 8194:8963 9218:9987 10242:11011 11266:12035 12290:13059 13314:14083 14338:15107 15362:16131" s="166" customFormat="1" ht="55.8" x14ac:dyDescent="0.3">
      <c r="A1236" s="167"/>
      <c r="B1236" s="168" t="s">
        <v>968</v>
      </c>
      <c r="C1236" s="48" t="s">
        <v>38</v>
      </c>
      <c r="D1236" s="76" t="s">
        <v>13</v>
      </c>
      <c r="E1236" s="73">
        <v>8.1999999999999993</v>
      </c>
      <c r="F1236" s="161">
        <v>19479000</v>
      </c>
      <c r="G1236" s="40">
        <f>E1236*F1236</f>
        <v>159727800</v>
      </c>
      <c r="H1236" s="42"/>
    </row>
    <row r="1237" spans="1:771 1026:1795 2050:2819 3074:3843 4098:4867 5122:5891 6146:6915 7170:7939 8194:8963 9218:9987 10242:11011 11266:12035 12290:13059 13314:14083 14338:15107 15362:16131" s="166" customFormat="1" x14ac:dyDescent="0.25">
      <c r="A1237" s="167"/>
      <c r="B1237" s="169"/>
      <c r="C1237" s="47" t="s">
        <v>35</v>
      </c>
      <c r="D1237" s="76"/>
      <c r="E1237" s="73"/>
      <c r="F1237" s="74"/>
      <c r="G1237" s="41">
        <f>SUM(G1238)</f>
        <v>44917960</v>
      </c>
      <c r="H1237" s="45"/>
    </row>
    <row r="1238" spans="1:771 1026:1795 2050:2819 3074:3843 4098:4867 5122:5891 6146:6915 7170:7939 8194:8963 9218:9987 10242:11011 11266:12035 12290:13059 13314:14083 14338:15107 15362:16131" s="166" customFormat="1" ht="62.4" x14ac:dyDescent="0.25">
      <c r="A1238" s="167"/>
      <c r="B1238" s="169"/>
      <c r="C1238" s="66" t="s">
        <v>969</v>
      </c>
      <c r="D1238" s="76" t="s">
        <v>891</v>
      </c>
      <c r="E1238" s="73">
        <f>3.05*4.1</f>
        <v>12.504999999999999</v>
      </c>
      <c r="F1238" s="74">
        <v>3592000</v>
      </c>
      <c r="G1238" s="40">
        <f>E1238*F1238</f>
        <v>44917960</v>
      </c>
      <c r="H1238" s="45" t="s">
        <v>2466</v>
      </c>
    </row>
    <row r="1239" spans="1:771 1026:1795 2050:2819 3074:3843 4098:4867 5122:5891 6146:6915 7170:7939 8194:8963 9218:9987 10242:11011 11266:12035 12290:13059 13314:14083 14338:15107 15362:16131" s="35" customFormat="1" ht="65.400000000000006" thickBot="1" x14ac:dyDescent="0.35">
      <c r="A1239" s="53"/>
      <c r="B1239" s="54"/>
      <c r="C1239" s="55" t="s">
        <v>2331</v>
      </c>
      <c r="D1239" s="56"/>
      <c r="E1239" s="5"/>
      <c r="F1239" s="6"/>
      <c r="G1239" s="57"/>
      <c r="H1239" s="58"/>
    </row>
    <row r="1240" spans="1:771 1026:1795 2050:2819 3074:3843 4098:4867 5122:5891 6146:6915 7170:7939 8194:8963 9218:9987 10242:11011 11266:12035 12290:13059 13314:14083 14338:15107 15362:16131" s="172" customFormat="1" ht="31.8" thickBot="1" x14ac:dyDescent="0.3">
      <c r="A1240" s="154"/>
      <c r="B1240" s="155" t="s">
        <v>26</v>
      </c>
      <c r="C1240" s="156"/>
      <c r="D1240" s="154"/>
      <c r="E1240" s="157"/>
      <c r="F1240" s="158"/>
      <c r="G1240" s="159">
        <f>SUM(G1234:G1239)/2</f>
        <v>204645760</v>
      </c>
      <c r="H1240" s="160"/>
      <c r="IX1240" s="166"/>
      <c r="IY1240" s="166"/>
      <c r="ST1240" s="166"/>
      <c r="SU1240" s="166"/>
      <c r="ACP1240" s="166"/>
      <c r="ACQ1240" s="166"/>
      <c r="AML1240" s="166"/>
      <c r="AMM1240" s="166"/>
      <c r="AWH1240" s="166"/>
      <c r="AWI1240" s="166"/>
      <c r="BGD1240" s="166"/>
      <c r="BGE1240" s="166"/>
      <c r="BPZ1240" s="166"/>
      <c r="BQA1240" s="166"/>
      <c r="BZV1240" s="166"/>
      <c r="BZW1240" s="166"/>
      <c r="CJR1240" s="166"/>
      <c r="CJS1240" s="166"/>
      <c r="CTN1240" s="166"/>
      <c r="CTO1240" s="166"/>
      <c r="DDJ1240" s="166"/>
      <c r="DDK1240" s="166"/>
      <c r="DNF1240" s="166"/>
      <c r="DNG1240" s="166"/>
      <c r="DXB1240" s="166"/>
      <c r="DXC1240" s="166"/>
      <c r="EGX1240" s="166"/>
      <c r="EGY1240" s="166"/>
      <c r="EQT1240" s="166"/>
      <c r="EQU1240" s="166"/>
      <c r="FAP1240" s="166"/>
      <c r="FAQ1240" s="166"/>
      <c r="FKL1240" s="166"/>
      <c r="FKM1240" s="166"/>
      <c r="FUH1240" s="166"/>
      <c r="FUI1240" s="166"/>
      <c r="GED1240" s="166"/>
      <c r="GEE1240" s="166"/>
      <c r="GNZ1240" s="166"/>
      <c r="GOA1240" s="166"/>
      <c r="GXV1240" s="166"/>
      <c r="GXW1240" s="166"/>
      <c r="HHR1240" s="166"/>
      <c r="HHS1240" s="166"/>
      <c r="HRN1240" s="166"/>
      <c r="HRO1240" s="166"/>
      <c r="IBJ1240" s="166"/>
      <c r="IBK1240" s="166"/>
      <c r="ILF1240" s="166"/>
      <c r="ILG1240" s="166"/>
      <c r="IVB1240" s="166"/>
      <c r="IVC1240" s="166"/>
      <c r="JEX1240" s="166"/>
      <c r="JEY1240" s="166"/>
      <c r="JOT1240" s="166"/>
      <c r="JOU1240" s="166"/>
      <c r="JYP1240" s="166"/>
      <c r="JYQ1240" s="166"/>
      <c r="KIL1240" s="166"/>
      <c r="KIM1240" s="166"/>
      <c r="KSH1240" s="166"/>
      <c r="KSI1240" s="166"/>
      <c r="LCD1240" s="166"/>
      <c r="LCE1240" s="166"/>
      <c r="LLZ1240" s="166"/>
      <c r="LMA1240" s="166"/>
      <c r="LVV1240" s="166"/>
      <c r="LVW1240" s="166"/>
      <c r="MFR1240" s="166"/>
      <c r="MFS1240" s="166"/>
      <c r="MPN1240" s="166"/>
      <c r="MPO1240" s="166"/>
      <c r="MZJ1240" s="166"/>
      <c r="MZK1240" s="166"/>
      <c r="NJF1240" s="166"/>
      <c r="NJG1240" s="166"/>
      <c r="NTB1240" s="166"/>
      <c r="NTC1240" s="166"/>
      <c r="OCX1240" s="166"/>
      <c r="OCY1240" s="166"/>
      <c r="OMT1240" s="166"/>
      <c r="OMU1240" s="166"/>
      <c r="OWP1240" s="166"/>
      <c r="OWQ1240" s="166"/>
      <c r="PGL1240" s="166"/>
      <c r="PGM1240" s="166"/>
      <c r="PQH1240" s="166"/>
      <c r="PQI1240" s="166"/>
      <c r="QAD1240" s="166"/>
      <c r="QAE1240" s="166"/>
      <c r="QJZ1240" s="166"/>
      <c r="QKA1240" s="166"/>
      <c r="QTV1240" s="166"/>
      <c r="QTW1240" s="166"/>
      <c r="RDR1240" s="166"/>
      <c r="RDS1240" s="166"/>
      <c r="RNN1240" s="166"/>
      <c r="RNO1240" s="166"/>
      <c r="RXJ1240" s="166"/>
      <c r="RXK1240" s="166"/>
      <c r="SHF1240" s="166"/>
      <c r="SHG1240" s="166"/>
      <c r="SRB1240" s="166"/>
      <c r="SRC1240" s="166"/>
      <c r="TAX1240" s="166"/>
      <c r="TAY1240" s="166"/>
      <c r="TKT1240" s="166"/>
      <c r="TKU1240" s="166"/>
      <c r="TUP1240" s="166"/>
      <c r="TUQ1240" s="166"/>
      <c r="UEL1240" s="166"/>
      <c r="UEM1240" s="166"/>
      <c r="UOH1240" s="166"/>
      <c r="UOI1240" s="166"/>
      <c r="UYD1240" s="166"/>
      <c r="UYE1240" s="166"/>
      <c r="VHZ1240" s="166"/>
      <c r="VIA1240" s="166"/>
      <c r="VRV1240" s="166"/>
      <c r="VRW1240" s="166"/>
      <c r="WBR1240" s="166"/>
      <c r="WBS1240" s="166"/>
      <c r="WLN1240" s="166"/>
      <c r="WLO1240" s="166"/>
      <c r="WVJ1240" s="166"/>
      <c r="WVK1240" s="166"/>
    </row>
    <row r="1241" spans="1:771 1026:1795 2050:2819 3074:3843 4098:4867 5122:5891 6146:6915 7170:7939 8194:8963 9218:9987 10242:11011 11266:12035 12290:13059 13314:14083 14338:15107 15362:16131" s="166" customFormat="1" ht="41.4" x14ac:dyDescent="0.25">
      <c r="A1241" s="164">
        <v>116</v>
      </c>
      <c r="B1241" s="181" t="s">
        <v>970</v>
      </c>
      <c r="C1241" s="78" t="s">
        <v>971</v>
      </c>
      <c r="D1241" s="79" t="s">
        <v>13</v>
      </c>
      <c r="E1241" s="80">
        <v>10</v>
      </c>
      <c r="F1241" s="81"/>
      <c r="G1241" s="33"/>
      <c r="H1241" s="34" t="s">
        <v>972</v>
      </c>
    </row>
    <row r="1242" spans="1:771 1026:1795 2050:2819 3074:3843 4098:4867 5122:5891 6146:6915 7170:7939 8194:8963 9218:9987 10242:11011 11266:12035 12290:13059 13314:14083 14338:15107 15362:16131" s="166" customFormat="1" x14ac:dyDescent="0.25">
      <c r="A1242" s="167"/>
      <c r="B1242" s="168" t="s">
        <v>973</v>
      </c>
      <c r="C1242" s="38" t="s">
        <v>14</v>
      </c>
      <c r="D1242" s="76"/>
      <c r="E1242" s="73"/>
      <c r="F1242" s="74"/>
      <c r="G1242" s="41">
        <f>SUM(G1243:G1244)</f>
        <v>149415000</v>
      </c>
      <c r="H1242" s="42"/>
    </row>
    <row r="1243" spans="1:771 1026:1795 2050:2819 3074:3843 4098:4867 5122:5891 6146:6915 7170:7939 8194:8963 9218:9987 10242:11011 11266:12035 12290:13059 13314:14083 14338:15107 15362:16131" s="166" customFormat="1" ht="69.599999999999994" x14ac:dyDescent="0.3">
      <c r="A1243" s="167"/>
      <c r="B1243" s="168" t="s">
        <v>974</v>
      </c>
      <c r="C1243" s="48" t="s">
        <v>38</v>
      </c>
      <c r="D1243" s="76" t="s">
        <v>13</v>
      </c>
      <c r="E1243" s="73">
        <v>5</v>
      </c>
      <c r="F1243" s="161">
        <v>19479000</v>
      </c>
      <c r="G1243" s="40">
        <f>E1243*F1243</f>
        <v>97395000</v>
      </c>
      <c r="H1243" s="42"/>
    </row>
    <row r="1244" spans="1:771 1026:1795 2050:2819 3074:3843 4098:4867 5122:5891 6146:6915 7170:7939 8194:8963 9218:9987 10242:11011 11266:12035 12290:13059 13314:14083 14338:15107 15362:16131" s="166" customFormat="1" ht="31.2" x14ac:dyDescent="0.25">
      <c r="A1244" s="167"/>
      <c r="B1244" s="169" t="s">
        <v>975</v>
      </c>
      <c r="C1244" s="105" t="s">
        <v>55</v>
      </c>
      <c r="D1244" s="76" t="s">
        <v>13</v>
      </c>
      <c r="E1244" s="73">
        <v>5</v>
      </c>
      <c r="F1244" s="153">
        <v>10404000</v>
      </c>
      <c r="G1244" s="40">
        <f>E1244*F1244</f>
        <v>52020000</v>
      </c>
      <c r="H1244" s="42"/>
    </row>
    <row r="1245" spans="1:771 1026:1795 2050:2819 3074:3843 4098:4867 5122:5891 6146:6915 7170:7939 8194:8963 9218:9987 10242:11011 11266:12035 12290:13059 13314:14083 14338:15107 15362:16131" s="166" customFormat="1" x14ac:dyDescent="0.25">
      <c r="A1245" s="167"/>
      <c r="B1245" s="169"/>
      <c r="C1245" s="47" t="s">
        <v>35</v>
      </c>
      <c r="D1245" s="76"/>
      <c r="E1245" s="73"/>
      <c r="F1245" s="74"/>
      <c r="G1245" s="41">
        <f>SUM(G1246)</f>
        <v>23707200</v>
      </c>
      <c r="H1245" s="45"/>
    </row>
    <row r="1246" spans="1:771 1026:1795 2050:2819 3074:3843 4098:4867 5122:5891 6146:6915 7170:7939 8194:8963 9218:9987 10242:11011 11266:12035 12290:13059 13314:14083 14338:15107 15362:16131" s="166" customFormat="1" ht="109.2" x14ac:dyDescent="0.25">
      <c r="A1246" s="167"/>
      <c r="B1246" s="169"/>
      <c r="C1246" s="66" t="s">
        <v>976</v>
      </c>
      <c r="D1246" s="76" t="s">
        <v>891</v>
      </c>
      <c r="E1246" s="73">
        <f>3.3*5</f>
        <v>16.5</v>
      </c>
      <c r="F1246" s="74">
        <f>3592000*40%</f>
        <v>1436800</v>
      </c>
      <c r="G1246" s="40">
        <f>E1246*F1246</f>
        <v>23707200</v>
      </c>
      <c r="H1246" s="45" t="s">
        <v>2467</v>
      </c>
    </row>
    <row r="1247" spans="1:771 1026:1795 2050:2819 3074:3843 4098:4867 5122:5891 6146:6915 7170:7939 8194:8963 9218:9987 10242:11011 11266:12035 12290:13059 13314:14083 14338:15107 15362:16131" s="166" customFormat="1" x14ac:dyDescent="0.25">
      <c r="A1247" s="167"/>
      <c r="B1247" s="169"/>
      <c r="C1247" s="51" t="s">
        <v>23</v>
      </c>
      <c r="D1247" s="76"/>
      <c r="E1247" s="3"/>
      <c r="F1247" s="4"/>
      <c r="G1247" s="41">
        <f>SUM(G1248)</f>
        <v>3060000</v>
      </c>
      <c r="H1247" s="52"/>
    </row>
    <row r="1248" spans="1:771 1026:1795 2050:2819 3074:3843 4098:4867 5122:5891 6146:6915 7170:7939 8194:8963 9218:9987 10242:11011 11266:12035 12290:13059 13314:14083 14338:15107 15362:16131" s="166" customFormat="1" x14ac:dyDescent="0.25">
      <c r="A1248" s="167"/>
      <c r="B1248" s="169"/>
      <c r="C1248" s="75" t="s">
        <v>24</v>
      </c>
      <c r="D1248" s="76" t="s">
        <v>25</v>
      </c>
      <c r="E1248" s="3">
        <f>1*30*6</f>
        <v>180</v>
      </c>
      <c r="F1248" s="4">
        <v>17000</v>
      </c>
      <c r="G1248" s="40">
        <f>E1248*F1248</f>
        <v>3060000</v>
      </c>
      <c r="H1248" s="42"/>
    </row>
    <row r="1249" spans="1:771 1026:1795 2050:2819 3074:3843 4098:4867 5122:5891 6146:6915 7170:7939 8194:8963 9218:9987 10242:11011 11266:12035 12290:13059 13314:14083 14338:15107 15362:16131" s="35" customFormat="1" ht="65.400000000000006" thickBot="1" x14ac:dyDescent="0.35">
      <c r="A1249" s="53"/>
      <c r="B1249" s="54"/>
      <c r="C1249" s="55" t="s">
        <v>2331</v>
      </c>
      <c r="D1249" s="56"/>
      <c r="E1249" s="5"/>
      <c r="F1249" s="6"/>
      <c r="G1249" s="57"/>
      <c r="H1249" s="58"/>
    </row>
    <row r="1250" spans="1:771 1026:1795 2050:2819 3074:3843 4098:4867 5122:5891 6146:6915 7170:7939 8194:8963 9218:9987 10242:11011 11266:12035 12290:13059 13314:14083 14338:15107 15362:16131" s="172" customFormat="1" ht="31.8" thickBot="1" x14ac:dyDescent="0.3">
      <c r="A1250" s="154"/>
      <c r="B1250" s="155" t="s">
        <v>26</v>
      </c>
      <c r="C1250" s="156"/>
      <c r="D1250" s="154"/>
      <c r="E1250" s="157"/>
      <c r="F1250" s="158"/>
      <c r="G1250" s="159">
        <f>SUM(G1241:G1249)/2</f>
        <v>176182200</v>
      </c>
      <c r="H1250" s="160"/>
      <c r="IX1250" s="166"/>
      <c r="IY1250" s="166"/>
      <c r="ST1250" s="166"/>
      <c r="SU1250" s="166"/>
      <c r="ACP1250" s="166"/>
      <c r="ACQ1250" s="166"/>
      <c r="AML1250" s="166"/>
      <c r="AMM1250" s="166"/>
      <c r="AWH1250" s="166"/>
      <c r="AWI1250" s="166"/>
      <c r="BGD1250" s="166"/>
      <c r="BGE1250" s="166"/>
      <c r="BPZ1250" s="166"/>
      <c r="BQA1250" s="166"/>
      <c r="BZV1250" s="166"/>
      <c r="BZW1250" s="166"/>
      <c r="CJR1250" s="166"/>
      <c r="CJS1250" s="166"/>
      <c r="CTN1250" s="166"/>
      <c r="CTO1250" s="166"/>
      <c r="DDJ1250" s="166"/>
      <c r="DDK1250" s="166"/>
      <c r="DNF1250" s="166"/>
      <c r="DNG1250" s="166"/>
      <c r="DXB1250" s="166"/>
      <c r="DXC1250" s="166"/>
      <c r="EGX1250" s="166"/>
      <c r="EGY1250" s="166"/>
      <c r="EQT1250" s="166"/>
      <c r="EQU1250" s="166"/>
      <c r="FAP1250" s="166"/>
      <c r="FAQ1250" s="166"/>
      <c r="FKL1250" s="166"/>
      <c r="FKM1250" s="166"/>
      <c r="FUH1250" s="166"/>
      <c r="FUI1250" s="166"/>
      <c r="GED1250" s="166"/>
      <c r="GEE1250" s="166"/>
      <c r="GNZ1250" s="166"/>
      <c r="GOA1250" s="166"/>
      <c r="GXV1250" s="166"/>
      <c r="GXW1250" s="166"/>
      <c r="HHR1250" s="166"/>
      <c r="HHS1250" s="166"/>
      <c r="HRN1250" s="166"/>
      <c r="HRO1250" s="166"/>
      <c r="IBJ1250" s="166"/>
      <c r="IBK1250" s="166"/>
      <c r="ILF1250" s="166"/>
      <c r="ILG1250" s="166"/>
      <c r="IVB1250" s="166"/>
      <c r="IVC1250" s="166"/>
      <c r="JEX1250" s="166"/>
      <c r="JEY1250" s="166"/>
      <c r="JOT1250" s="166"/>
      <c r="JOU1250" s="166"/>
      <c r="JYP1250" s="166"/>
      <c r="JYQ1250" s="166"/>
      <c r="KIL1250" s="166"/>
      <c r="KIM1250" s="166"/>
      <c r="KSH1250" s="166"/>
      <c r="KSI1250" s="166"/>
      <c r="LCD1250" s="166"/>
      <c r="LCE1250" s="166"/>
      <c r="LLZ1250" s="166"/>
      <c r="LMA1250" s="166"/>
      <c r="LVV1250" s="166"/>
      <c r="LVW1250" s="166"/>
      <c r="MFR1250" s="166"/>
      <c r="MFS1250" s="166"/>
      <c r="MPN1250" s="166"/>
      <c r="MPO1250" s="166"/>
      <c r="MZJ1250" s="166"/>
      <c r="MZK1250" s="166"/>
      <c r="NJF1250" s="166"/>
      <c r="NJG1250" s="166"/>
      <c r="NTB1250" s="166"/>
      <c r="NTC1250" s="166"/>
      <c r="OCX1250" s="166"/>
      <c r="OCY1250" s="166"/>
      <c r="OMT1250" s="166"/>
      <c r="OMU1250" s="166"/>
      <c r="OWP1250" s="166"/>
      <c r="OWQ1250" s="166"/>
      <c r="PGL1250" s="166"/>
      <c r="PGM1250" s="166"/>
      <c r="PQH1250" s="166"/>
      <c r="PQI1250" s="166"/>
      <c r="QAD1250" s="166"/>
      <c r="QAE1250" s="166"/>
      <c r="QJZ1250" s="166"/>
      <c r="QKA1250" s="166"/>
      <c r="QTV1250" s="166"/>
      <c r="QTW1250" s="166"/>
      <c r="RDR1250" s="166"/>
      <c r="RDS1250" s="166"/>
      <c r="RNN1250" s="166"/>
      <c r="RNO1250" s="166"/>
      <c r="RXJ1250" s="166"/>
      <c r="RXK1250" s="166"/>
      <c r="SHF1250" s="166"/>
      <c r="SHG1250" s="166"/>
      <c r="SRB1250" s="166"/>
      <c r="SRC1250" s="166"/>
      <c r="TAX1250" s="166"/>
      <c r="TAY1250" s="166"/>
      <c r="TKT1250" s="166"/>
      <c r="TKU1250" s="166"/>
      <c r="TUP1250" s="166"/>
      <c r="TUQ1250" s="166"/>
      <c r="UEL1250" s="166"/>
      <c r="UEM1250" s="166"/>
      <c r="UOH1250" s="166"/>
      <c r="UOI1250" s="166"/>
      <c r="UYD1250" s="166"/>
      <c r="UYE1250" s="166"/>
      <c r="VHZ1250" s="166"/>
      <c r="VIA1250" s="166"/>
      <c r="VRV1250" s="166"/>
      <c r="VRW1250" s="166"/>
      <c r="WBR1250" s="166"/>
      <c r="WBS1250" s="166"/>
      <c r="WLN1250" s="166"/>
      <c r="WLO1250" s="166"/>
      <c r="WVJ1250" s="166"/>
      <c r="WVK1250" s="166"/>
    </row>
    <row r="1251" spans="1:771 1026:1795 2050:2819 3074:3843 4098:4867 5122:5891 6146:6915 7170:7939 8194:8963 9218:9987 10242:11011 11266:12035 12290:13059 13314:14083 14338:15107 15362:16131" s="166" customFormat="1" ht="55.2" x14ac:dyDescent="0.25">
      <c r="A1251" s="164">
        <v>117</v>
      </c>
      <c r="B1251" s="181" t="s">
        <v>977</v>
      </c>
      <c r="C1251" s="78" t="s">
        <v>2126</v>
      </c>
      <c r="D1251" s="79" t="s">
        <v>13</v>
      </c>
      <c r="E1251" s="80">
        <v>10</v>
      </c>
      <c r="F1251" s="81"/>
      <c r="G1251" s="33"/>
      <c r="H1251" s="34" t="s">
        <v>978</v>
      </c>
    </row>
    <row r="1252" spans="1:771 1026:1795 2050:2819 3074:3843 4098:4867 5122:5891 6146:6915 7170:7939 8194:8963 9218:9987 10242:11011 11266:12035 12290:13059 13314:14083 14338:15107 15362:16131" s="166" customFormat="1" x14ac:dyDescent="0.25">
      <c r="A1252" s="167"/>
      <c r="B1252" s="168" t="s">
        <v>979</v>
      </c>
      <c r="C1252" s="38" t="s">
        <v>14</v>
      </c>
      <c r="D1252" s="76"/>
      <c r="E1252" s="73"/>
      <c r="F1252" s="74"/>
      <c r="G1252" s="41">
        <f>SUM(G1253)</f>
        <v>194790000</v>
      </c>
      <c r="H1252" s="42"/>
    </row>
    <row r="1253" spans="1:771 1026:1795 2050:2819 3074:3843 4098:4867 5122:5891 6146:6915 7170:7939 8194:8963 9218:9987 10242:11011 11266:12035 12290:13059 13314:14083 14338:15107 15362:16131" s="166" customFormat="1" ht="55.2" x14ac:dyDescent="0.25">
      <c r="A1253" s="167"/>
      <c r="B1253" s="168" t="s">
        <v>980</v>
      </c>
      <c r="C1253" s="48" t="s">
        <v>38</v>
      </c>
      <c r="D1253" s="76" t="s">
        <v>13</v>
      </c>
      <c r="E1253" s="73">
        <v>10</v>
      </c>
      <c r="F1253" s="153">
        <v>19479000</v>
      </c>
      <c r="G1253" s="40">
        <f>E1253*F1253</f>
        <v>194790000</v>
      </c>
      <c r="H1253" s="42"/>
    </row>
    <row r="1254" spans="1:771 1026:1795 2050:2819 3074:3843 4098:4867 5122:5891 6146:6915 7170:7939 8194:8963 9218:9987 10242:11011 11266:12035 12290:13059 13314:14083 14338:15107 15362:16131" s="166" customFormat="1" x14ac:dyDescent="0.25">
      <c r="A1254" s="167"/>
      <c r="B1254" s="169" t="s">
        <v>981</v>
      </c>
      <c r="C1254" s="47" t="s">
        <v>35</v>
      </c>
      <c r="D1254" s="76"/>
      <c r="E1254" s="73"/>
      <c r="F1254" s="74"/>
      <c r="G1254" s="41">
        <f>SUM(G1255)</f>
        <v>35920000</v>
      </c>
      <c r="H1254" s="45"/>
    </row>
    <row r="1255" spans="1:771 1026:1795 2050:2819 3074:3843 4098:4867 5122:5891 6146:6915 7170:7939 8194:8963 9218:9987 10242:11011 11266:12035 12290:13059 13314:14083 14338:15107 15362:16131" s="166" customFormat="1" ht="109.2" x14ac:dyDescent="0.25">
      <c r="A1255" s="167"/>
      <c r="B1255" s="169"/>
      <c r="C1255" s="66" t="s">
        <v>982</v>
      </c>
      <c r="D1255" s="76" t="s">
        <v>891</v>
      </c>
      <c r="E1255" s="73">
        <f>2*5</f>
        <v>10</v>
      </c>
      <c r="F1255" s="74">
        <v>3592000</v>
      </c>
      <c r="G1255" s="40">
        <f>E1255*F1255</f>
        <v>35920000</v>
      </c>
      <c r="H1255" s="45" t="s">
        <v>2468</v>
      </c>
    </row>
    <row r="1256" spans="1:771 1026:1795 2050:2819 3074:3843 4098:4867 5122:5891 6146:6915 7170:7939 8194:8963 9218:9987 10242:11011 11266:12035 12290:13059 13314:14083 14338:15107 15362:16131" s="166" customFormat="1" x14ac:dyDescent="0.25">
      <c r="A1256" s="167"/>
      <c r="B1256" s="169"/>
      <c r="C1256" s="47" t="s">
        <v>20</v>
      </c>
      <c r="D1256" s="76"/>
      <c r="E1256" s="73"/>
      <c r="F1256" s="74"/>
      <c r="G1256" s="41">
        <f>SUM(G1257)</f>
        <v>40000</v>
      </c>
      <c r="H1256" s="45"/>
    </row>
    <row r="1257" spans="1:771 1026:1795 2050:2819 3074:3843 4098:4867 5122:5891 6146:6915 7170:7939 8194:8963 9218:9987 10242:11011 11266:12035 12290:13059 13314:14083 14338:15107 15362:16131" s="166" customFormat="1" x14ac:dyDescent="0.25">
      <c r="A1257" s="167"/>
      <c r="B1257" s="169"/>
      <c r="C1257" s="66" t="s">
        <v>983</v>
      </c>
      <c r="D1257" s="76" t="s">
        <v>22</v>
      </c>
      <c r="E1257" s="73">
        <v>2</v>
      </c>
      <c r="F1257" s="74">
        <v>20000</v>
      </c>
      <c r="G1257" s="40">
        <f>E1257*F1257</f>
        <v>40000</v>
      </c>
      <c r="H1257" s="45"/>
    </row>
    <row r="1258" spans="1:771 1026:1795 2050:2819 3074:3843 4098:4867 5122:5891 6146:6915 7170:7939 8194:8963 9218:9987 10242:11011 11266:12035 12290:13059 13314:14083 14338:15107 15362:16131" s="35" customFormat="1" ht="65.400000000000006" thickBot="1" x14ac:dyDescent="0.35">
      <c r="A1258" s="53"/>
      <c r="B1258" s="54"/>
      <c r="C1258" s="55" t="s">
        <v>2331</v>
      </c>
      <c r="D1258" s="56"/>
      <c r="E1258" s="5"/>
      <c r="F1258" s="6"/>
      <c r="G1258" s="57"/>
      <c r="H1258" s="58"/>
    </row>
    <row r="1259" spans="1:771 1026:1795 2050:2819 3074:3843 4098:4867 5122:5891 6146:6915 7170:7939 8194:8963 9218:9987 10242:11011 11266:12035 12290:13059 13314:14083 14338:15107 15362:16131" s="172" customFormat="1" ht="31.8" thickBot="1" x14ac:dyDescent="0.3">
      <c r="A1259" s="154"/>
      <c r="B1259" s="155" t="s">
        <v>26</v>
      </c>
      <c r="C1259" s="156"/>
      <c r="D1259" s="154"/>
      <c r="E1259" s="157"/>
      <c r="F1259" s="158"/>
      <c r="G1259" s="159">
        <f>SUM(G1251:G1258)/2</f>
        <v>230750000</v>
      </c>
      <c r="H1259" s="160"/>
      <c r="IX1259" s="166"/>
      <c r="IY1259" s="166"/>
      <c r="ST1259" s="166"/>
      <c r="SU1259" s="166"/>
      <c r="ACP1259" s="166"/>
      <c r="ACQ1259" s="166"/>
      <c r="AML1259" s="166"/>
      <c r="AMM1259" s="166"/>
      <c r="AWH1259" s="166"/>
      <c r="AWI1259" s="166"/>
      <c r="BGD1259" s="166"/>
      <c r="BGE1259" s="166"/>
      <c r="BPZ1259" s="166"/>
      <c r="BQA1259" s="166"/>
      <c r="BZV1259" s="166"/>
      <c r="BZW1259" s="166"/>
      <c r="CJR1259" s="166"/>
      <c r="CJS1259" s="166"/>
      <c r="CTN1259" s="166"/>
      <c r="CTO1259" s="166"/>
      <c r="DDJ1259" s="166"/>
      <c r="DDK1259" s="166"/>
      <c r="DNF1259" s="166"/>
      <c r="DNG1259" s="166"/>
      <c r="DXB1259" s="166"/>
      <c r="DXC1259" s="166"/>
      <c r="EGX1259" s="166"/>
      <c r="EGY1259" s="166"/>
      <c r="EQT1259" s="166"/>
      <c r="EQU1259" s="166"/>
      <c r="FAP1259" s="166"/>
      <c r="FAQ1259" s="166"/>
      <c r="FKL1259" s="166"/>
      <c r="FKM1259" s="166"/>
      <c r="FUH1259" s="166"/>
      <c r="FUI1259" s="166"/>
      <c r="GED1259" s="166"/>
      <c r="GEE1259" s="166"/>
      <c r="GNZ1259" s="166"/>
      <c r="GOA1259" s="166"/>
      <c r="GXV1259" s="166"/>
      <c r="GXW1259" s="166"/>
      <c r="HHR1259" s="166"/>
      <c r="HHS1259" s="166"/>
      <c r="HRN1259" s="166"/>
      <c r="HRO1259" s="166"/>
      <c r="IBJ1259" s="166"/>
      <c r="IBK1259" s="166"/>
      <c r="ILF1259" s="166"/>
      <c r="ILG1259" s="166"/>
      <c r="IVB1259" s="166"/>
      <c r="IVC1259" s="166"/>
      <c r="JEX1259" s="166"/>
      <c r="JEY1259" s="166"/>
      <c r="JOT1259" s="166"/>
      <c r="JOU1259" s="166"/>
      <c r="JYP1259" s="166"/>
      <c r="JYQ1259" s="166"/>
      <c r="KIL1259" s="166"/>
      <c r="KIM1259" s="166"/>
      <c r="KSH1259" s="166"/>
      <c r="KSI1259" s="166"/>
      <c r="LCD1259" s="166"/>
      <c r="LCE1259" s="166"/>
      <c r="LLZ1259" s="166"/>
      <c r="LMA1259" s="166"/>
      <c r="LVV1259" s="166"/>
      <c r="LVW1259" s="166"/>
      <c r="MFR1259" s="166"/>
      <c r="MFS1259" s="166"/>
      <c r="MPN1259" s="166"/>
      <c r="MPO1259" s="166"/>
      <c r="MZJ1259" s="166"/>
      <c r="MZK1259" s="166"/>
      <c r="NJF1259" s="166"/>
      <c r="NJG1259" s="166"/>
      <c r="NTB1259" s="166"/>
      <c r="NTC1259" s="166"/>
      <c r="OCX1259" s="166"/>
      <c r="OCY1259" s="166"/>
      <c r="OMT1259" s="166"/>
      <c r="OMU1259" s="166"/>
      <c r="OWP1259" s="166"/>
      <c r="OWQ1259" s="166"/>
      <c r="PGL1259" s="166"/>
      <c r="PGM1259" s="166"/>
      <c r="PQH1259" s="166"/>
      <c r="PQI1259" s="166"/>
      <c r="QAD1259" s="166"/>
      <c r="QAE1259" s="166"/>
      <c r="QJZ1259" s="166"/>
      <c r="QKA1259" s="166"/>
      <c r="QTV1259" s="166"/>
      <c r="QTW1259" s="166"/>
      <c r="RDR1259" s="166"/>
      <c r="RDS1259" s="166"/>
      <c r="RNN1259" s="166"/>
      <c r="RNO1259" s="166"/>
      <c r="RXJ1259" s="166"/>
      <c r="RXK1259" s="166"/>
      <c r="SHF1259" s="166"/>
      <c r="SHG1259" s="166"/>
      <c r="SRB1259" s="166"/>
      <c r="SRC1259" s="166"/>
      <c r="TAX1259" s="166"/>
      <c r="TAY1259" s="166"/>
      <c r="TKT1259" s="166"/>
      <c r="TKU1259" s="166"/>
      <c r="TUP1259" s="166"/>
      <c r="TUQ1259" s="166"/>
      <c r="UEL1259" s="166"/>
      <c r="UEM1259" s="166"/>
      <c r="UOH1259" s="166"/>
      <c r="UOI1259" s="166"/>
      <c r="UYD1259" s="166"/>
      <c r="UYE1259" s="166"/>
      <c r="VHZ1259" s="166"/>
      <c r="VIA1259" s="166"/>
      <c r="VRV1259" s="166"/>
      <c r="VRW1259" s="166"/>
      <c r="WBR1259" s="166"/>
      <c r="WBS1259" s="166"/>
      <c r="WLN1259" s="166"/>
      <c r="WLO1259" s="166"/>
      <c r="WVJ1259" s="166"/>
      <c r="WVK1259" s="166"/>
    </row>
    <row r="1260" spans="1:771 1026:1795 2050:2819 3074:3843 4098:4867 5122:5891 6146:6915 7170:7939 8194:8963 9218:9987 10242:11011 11266:12035 12290:13059 13314:14083 14338:15107 15362:16131" s="166" customFormat="1" ht="55.2" x14ac:dyDescent="0.25">
      <c r="A1260" s="164">
        <v>118</v>
      </c>
      <c r="B1260" s="181" t="s">
        <v>984</v>
      </c>
      <c r="C1260" s="78" t="s">
        <v>985</v>
      </c>
      <c r="D1260" s="79" t="s">
        <v>13</v>
      </c>
      <c r="E1260" s="80">
        <v>8.3000000000000007</v>
      </c>
      <c r="F1260" s="81"/>
      <c r="G1260" s="33"/>
      <c r="H1260" s="34" t="s">
        <v>986</v>
      </c>
    </row>
    <row r="1261" spans="1:771 1026:1795 2050:2819 3074:3843 4098:4867 5122:5891 6146:6915 7170:7939 8194:8963 9218:9987 10242:11011 11266:12035 12290:13059 13314:14083 14338:15107 15362:16131" s="166" customFormat="1" x14ac:dyDescent="0.25">
      <c r="A1261" s="167"/>
      <c r="B1261" s="168" t="s">
        <v>987</v>
      </c>
      <c r="C1261" s="38" t="s">
        <v>14</v>
      </c>
      <c r="D1261" s="76"/>
      <c r="E1261" s="73"/>
      <c r="F1261" s="74"/>
      <c r="G1261" s="41">
        <f>SUM(G1262)</f>
        <v>161675700</v>
      </c>
      <c r="H1261" s="42"/>
    </row>
    <row r="1262" spans="1:771 1026:1795 2050:2819 3074:3843 4098:4867 5122:5891 6146:6915 7170:7939 8194:8963 9218:9987 10242:11011 11266:12035 12290:13059 13314:14083 14338:15107 15362:16131" s="166" customFormat="1" ht="55.2" x14ac:dyDescent="0.25">
      <c r="A1262" s="167"/>
      <c r="B1262" s="168" t="s">
        <v>988</v>
      </c>
      <c r="C1262" s="48" t="s">
        <v>38</v>
      </c>
      <c r="D1262" s="76" t="s">
        <v>13</v>
      </c>
      <c r="E1262" s="73">
        <v>8.3000000000000007</v>
      </c>
      <c r="F1262" s="153">
        <v>19479000</v>
      </c>
      <c r="G1262" s="40">
        <f>E1262*F1262</f>
        <v>161675700</v>
      </c>
      <c r="H1262" s="42"/>
    </row>
    <row r="1263" spans="1:771 1026:1795 2050:2819 3074:3843 4098:4867 5122:5891 6146:6915 7170:7939 8194:8963 9218:9987 10242:11011 11266:12035 12290:13059 13314:14083 14338:15107 15362:16131" s="166" customFormat="1" x14ac:dyDescent="0.25">
      <c r="A1263" s="167"/>
      <c r="B1263" s="169" t="s">
        <v>954</v>
      </c>
      <c r="C1263" s="47" t="s">
        <v>35</v>
      </c>
      <c r="D1263" s="76"/>
      <c r="E1263" s="73"/>
      <c r="F1263" s="74"/>
      <c r="G1263" s="41">
        <f>SUM(G1264:G1267)</f>
        <v>37109440</v>
      </c>
      <c r="H1263" s="45"/>
    </row>
    <row r="1264" spans="1:771 1026:1795 2050:2819 3074:3843 4098:4867 5122:5891 6146:6915 7170:7939 8194:8963 9218:9987 10242:11011 11266:12035 12290:13059 13314:14083 14338:15107 15362:16131" s="166" customFormat="1" ht="93.6" x14ac:dyDescent="0.25">
      <c r="A1264" s="167"/>
      <c r="B1264" s="169"/>
      <c r="C1264" s="66" t="s">
        <v>989</v>
      </c>
      <c r="D1264" s="76" t="s">
        <v>891</v>
      </c>
      <c r="E1264" s="73">
        <v>8.32</v>
      </c>
      <c r="F1264" s="74">
        <v>3592000</v>
      </c>
      <c r="G1264" s="40">
        <f>E1264*F1264</f>
        <v>29885440</v>
      </c>
      <c r="H1264" s="45" t="s">
        <v>2469</v>
      </c>
    </row>
    <row r="1265" spans="1:771 1026:1795 2050:2819 3074:3843 4098:4867 5122:5891 6146:6915 7170:7939 8194:8963 9218:9987 10242:11011 11266:12035 12290:13059 13314:14083 14338:15107 15362:16131" s="166" customFormat="1" x14ac:dyDescent="0.25">
      <c r="A1265" s="167"/>
      <c r="B1265" s="169"/>
      <c r="C1265" s="66" t="s">
        <v>990</v>
      </c>
      <c r="D1265" s="76" t="s">
        <v>106</v>
      </c>
      <c r="E1265" s="73">
        <v>1</v>
      </c>
      <c r="F1265" s="40">
        <f>2976000+(236000*18)</f>
        <v>7224000</v>
      </c>
      <c r="G1265" s="40">
        <f>E1265*F1265</f>
        <v>7224000</v>
      </c>
      <c r="H1265" s="45"/>
    </row>
    <row r="1266" spans="1:771 1026:1795 2050:2819 3074:3843 4098:4867 5122:5891 6146:6915 7170:7939 8194:8963 9218:9987 10242:11011 11266:12035 12290:13059 13314:14083 14338:15107 15362:16131" s="166" customFormat="1" x14ac:dyDescent="0.25">
      <c r="A1266" s="167"/>
      <c r="B1266" s="169"/>
      <c r="C1266" s="66" t="s">
        <v>105</v>
      </c>
      <c r="D1266" s="76" t="s">
        <v>991</v>
      </c>
      <c r="E1266" s="73">
        <v>1</v>
      </c>
      <c r="F1266" s="74"/>
      <c r="G1266" s="40">
        <f>E1266*F1266</f>
        <v>0</v>
      </c>
      <c r="H1266" s="52" t="s">
        <v>2353</v>
      </c>
    </row>
    <row r="1267" spans="1:771 1026:1795 2050:2819 3074:3843 4098:4867 5122:5891 6146:6915 7170:7939 8194:8963 9218:9987 10242:11011 11266:12035 12290:13059 13314:14083 14338:15107 15362:16131" s="35" customFormat="1" ht="65.400000000000006" thickBot="1" x14ac:dyDescent="0.35">
      <c r="A1267" s="53"/>
      <c r="B1267" s="54"/>
      <c r="C1267" s="55" t="s">
        <v>2331</v>
      </c>
      <c r="D1267" s="56"/>
      <c r="E1267" s="5"/>
      <c r="F1267" s="6"/>
      <c r="G1267" s="57"/>
      <c r="H1267" s="58"/>
    </row>
    <row r="1268" spans="1:771 1026:1795 2050:2819 3074:3843 4098:4867 5122:5891 6146:6915 7170:7939 8194:8963 9218:9987 10242:11011 11266:12035 12290:13059 13314:14083 14338:15107 15362:16131" s="172" customFormat="1" ht="31.8" thickBot="1" x14ac:dyDescent="0.3">
      <c r="A1268" s="154"/>
      <c r="B1268" s="155" t="s">
        <v>26</v>
      </c>
      <c r="C1268" s="156"/>
      <c r="D1268" s="154"/>
      <c r="E1268" s="157"/>
      <c r="F1268" s="158"/>
      <c r="G1268" s="159">
        <f>SUM(G1260:G1267)/2</f>
        <v>198785140</v>
      </c>
      <c r="H1268" s="160"/>
      <c r="IX1268" s="166"/>
      <c r="IY1268" s="166"/>
      <c r="ST1268" s="166"/>
      <c r="SU1268" s="166"/>
      <c r="ACP1268" s="166"/>
      <c r="ACQ1268" s="166"/>
      <c r="AML1268" s="166"/>
      <c r="AMM1268" s="166"/>
      <c r="AWH1268" s="166"/>
      <c r="AWI1268" s="166"/>
      <c r="BGD1268" s="166"/>
      <c r="BGE1268" s="166"/>
      <c r="BPZ1268" s="166"/>
      <c r="BQA1268" s="166"/>
      <c r="BZV1268" s="166"/>
      <c r="BZW1268" s="166"/>
      <c r="CJR1268" s="166"/>
      <c r="CJS1268" s="166"/>
      <c r="CTN1268" s="166"/>
      <c r="CTO1268" s="166"/>
      <c r="DDJ1268" s="166"/>
      <c r="DDK1268" s="166"/>
      <c r="DNF1268" s="166"/>
      <c r="DNG1268" s="166"/>
      <c r="DXB1268" s="166"/>
      <c r="DXC1268" s="166"/>
      <c r="EGX1268" s="166"/>
      <c r="EGY1268" s="166"/>
      <c r="EQT1268" s="166"/>
      <c r="EQU1268" s="166"/>
      <c r="FAP1268" s="166"/>
      <c r="FAQ1268" s="166"/>
      <c r="FKL1268" s="166"/>
      <c r="FKM1268" s="166"/>
      <c r="FUH1268" s="166"/>
      <c r="FUI1268" s="166"/>
      <c r="GED1268" s="166"/>
      <c r="GEE1268" s="166"/>
      <c r="GNZ1268" s="166"/>
      <c r="GOA1268" s="166"/>
      <c r="GXV1268" s="166"/>
      <c r="GXW1268" s="166"/>
      <c r="HHR1268" s="166"/>
      <c r="HHS1268" s="166"/>
      <c r="HRN1268" s="166"/>
      <c r="HRO1268" s="166"/>
      <c r="IBJ1268" s="166"/>
      <c r="IBK1268" s="166"/>
      <c r="ILF1268" s="166"/>
      <c r="ILG1268" s="166"/>
      <c r="IVB1268" s="166"/>
      <c r="IVC1268" s="166"/>
      <c r="JEX1268" s="166"/>
      <c r="JEY1268" s="166"/>
      <c r="JOT1268" s="166"/>
      <c r="JOU1268" s="166"/>
      <c r="JYP1268" s="166"/>
      <c r="JYQ1268" s="166"/>
      <c r="KIL1268" s="166"/>
      <c r="KIM1268" s="166"/>
      <c r="KSH1268" s="166"/>
      <c r="KSI1268" s="166"/>
      <c r="LCD1268" s="166"/>
      <c r="LCE1268" s="166"/>
      <c r="LLZ1268" s="166"/>
      <c r="LMA1268" s="166"/>
      <c r="LVV1268" s="166"/>
      <c r="LVW1268" s="166"/>
      <c r="MFR1268" s="166"/>
      <c r="MFS1268" s="166"/>
      <c r="MPN1268" s="166"/>
      <c r="MPO1268" s="166"/>
      <c r="MZJ1268" s="166"/>
      <c r="MZK1268" s="166"/>
      <c r="NJF1268" s="166"/>
      <c r="NJG1268" s="166"/>
      <c r="NTB1268" s="166"/>
      <c r="NTC1268" s="166"/>
      <c r="OCX1268" s="166"/>
      <c r="OCY1268" s="166"/>
      <c r="OMT1268" s="166"/>
      <c r="OMU1268" s="166"/>
      <c r="OWP1268" s="166"/>
      <c r="OWQ1268" s="166"/>
      <c r="PGL1268" s="166"/>
      <c r="PGM1268" s="166"/>
      <c r="PQH1268" s="166"/>
      <c r="PQI1268" s="166"/>
      <c r="QAD1268" s="166"/>
      <c r="QAE1268" s="166"/>
      <c r="QJZ1268" s="166"/>
      <c r="QKA1268" s="166"/>
      <c r="QTV1268" s="166"/>
      <c r="QTW1268" s="166"/>
      <c r="RDR1268" s="166"/>
      <c r="RDS1268" s="166"/>
      <c r="RNN1268" s="166"/>
      <c r="RNO1268" s="166"/>
      <c r="RXJ1268" s="166"/>
      <c r="RXK1268" s="166"/>
      <c r="SHF1268" s="166"/>
      <c r="SHG1268" s="166"/>
      <c r="SRB1268" s="166"/>
      <c r="SRC1268" s="166"/>
      <c r="TAX1268" s="166"/>
      <c r="TAY1268" s="166"/>
      <c r="TKT1268" s="166"/>
      <c r="TKU1268" s="166"/>
      <c r="TUP1268" s="166"/>
      <c r="TUQ1268" s="166"/>
      <c r="UEL1268" s="166"/>
      <c r="UEM1268" s="166"/>
      <c r="UOH1268" s="166"/>
      <c r="UOI1268" s="166"/>
      <c r="UYD1268" s="166"/>
      <c r="UYE1268" s="166"/>
      <c r="VHZ1268" s="166"/>
      <c r="VIA1268" s="166"/>
      <c r="VRV1268" s="166"/>
      <c r="VRW1268" s="166"/>
      <c r="WBR1268" s="166"/>
      <c r="WBS1268" s="166"/>
      <c r="WLN1268" s="166"/>
      <c r="WLO1268" s="166"/>
      <c r="WVJ1268" s="166"/>
      <c r="WVK1268" s="166"/>
    </row>
    <row r="1269" spans="1:771 1026:1795 2050:2819 3074:3843 4098:4867 5122:5891 6146:6915 7170:7939 8194:8963 9218:9987 10242:11011 11266:12035 12290:13059 13314:14083 14338:15107 15362:16131" s="166" customFormat="1" ht="55.2" x14ac:dyDescent="0.25">
      <c r="A1269" s="164">
        <v>119</v>
      </c>
      <c r="B1269" s="165" t="s">
        <v>2127</v>
      </c>
      <c r="C1269" s="78" t="s">
        <v>2128</v>
      </c>
      <c r="D1269" s="79" t="s">
        <v>13</v>
      </c>
      <c r="E1269" s="80">
        <v>18.899999999999999</v>
      </c>
      <c r="F1269" s="81"/>
      <c r="G1269" s="33"/>
      <c r="H1269" s="34" t="s">
        <v>992</v>
      </c>
    </row>
    <row r="1270" spans="1:771 1026:1795 2050:2819 3074:3843 4098:4867 5122:5891 6146:6915 7170:7939 8194:8963 9218:9987 10242:11011 11266:12035 12290:13059 13314:14083 14338:15107 15362:16131" s="166" customFormat="1" x14ac:dyDescent="0.25">
      <c r="A1270" s="167"/>
      <c r="B1270" s="168" t="s">
        <v>993</v>
      </c>
      <c r="C1270" s="38" t="s">
        <v>14</v>
      </c>
      <c r="D1270" s="76"/>
      <c r="E1270" s="73"/>
      <c r="F1270" s="74"/>
      <c r="G1270" s="41">
        <f>SUM(G1271)</f>
        <v>368153100</v>
      </c>
      <c r="H1270" s="42"/>
    </row>
    <row r="1271" spans="1:771 1026:1795 2050:2819 3074:3843 4098:4867 5122:5891 6146:6915 7170:7939 8194:8963 9218:9987 10242:11011 11266:12035 12290:13059 13314:14083 14338:15107 15362:16131" s="166" customFormat="1" ht="55.2" x14ac:dyDescent="0.25">
      <c r="A1271" s="167"/>
      <c r="B1271" s="168" t="s">
        <v>994</v>
      </c>
      <c r="C1271" s="48" t="s">
        <v>38</v>
      </c>
      <c r="D1271" s="76" t="s">
        <v>13</v>
      </c>
      <c r="E1271" s="73">
        <v>18.899999999999999</v>
      </c>
      <c r="F1271" s="153">
        <v>19479000</v>
      </c>
      <c r="G1271" s="40">
        <f>E1271*F1271</f>
        <v>368153100</v>
      </c>
      <c r="H1271" s="42"/>
    </row>
    <row r="1272" spans="1:771 1026:1795 2050:2819 3074:3843 4098:4867 5122:5891 6146:6915 7170:7939 8194:8963 9218:9987 10242:11011 11266:12035 12290:13059 13314:14083 14338:15107 15362:16131" s="166" customFormat="1" x14ac:dyDescent="0.25">
      <c r="A1272" s="167"/>
      <c r="B1272" s="169" t="s">
        <v>995</v>
      </c>
      <c r="C1272" s="47" t="s">
        <v>35</v>
      </c>
      <c r="D1272" s="76"/>
      <c r="E1272" s="73"/>
      <c r="F1272" s="74"/>
      <c r="G1272" s="41">
        <f>SUM(G1273:G1277)</f>
        <v>51282316</v>
      </c>
      <c r="H1272" s="45"/>
    </row>
    <row r="1273" spans="1:771 1026:1795 2050:2819 3074:3843 4098:4867 5122:5891 6146:6915 7170:7939 8194:8963 9218:9987 10242:11011 11266:12035 12290:13059 13314:14083 14338:15107 15362:16131" s="166" customFormat="1" ht="93.6" x14ac:dyDescent="0.25">
      <c r="A1273" s="167"/>
      <c r="B1273" s="169"/>
      <c r="C1273" s="66" t="s">
        <v>996</v>
      </c>
      <c r="D1273" s="76" t="s">
        <v>891</v>
      </c>
      <c r="E1273" s="73">
        <f>(2*4.5)</f>
        <v>9</v>
      </c>
      <c r="F1273" s="74">
        <v>3592000</v>
      </c>
      <c r="G1273" s="40">
        <f>E1273*F1273</f>
        <v>32328000</v>
      </c>
      <c r="H1273" s="45" t="s">
        <v>2470</v>
      </c>
    </row>
    <row r="1274" spans="1:771 1026:1795 2050:2819 3074:3843 4098:4867 5122:5891 6146:6915 7170:7939 8194:8963 9218:9987 10242:11011 11266:12035 12290:13059 13314:14083 14338:15107 15362:16131" s="166" customFormat="1" ht="109.2" x14ac:dyDescent="0.25">
      <c r="A1274" s="167"/>
      <c r="B1274" s="169"/>
      <c r="C1274" s="66" t="s">
        <v>997</v>
      </c>
      <c r="D1274" s="76" t="s">
        <v>891</v>
      </c>
      <c r="E1274" s="73">
        <v>4.96</v>
      </c>
      <c r="F1274" s="74">
        <v>3592000</v>
      </c>
      <c r="G1274" s="40">
        <f>E1274*F1274</f>
        <v>17816320</v>
      </c>
      <c r="H1274" s="45" t="s">
        <v>2471</v>
      </c>
    </row>
    <row r="1275" spans="1:771 1026:1795 2050:2819 3074:3843 4098:4867 5122:5891 6146:6915 7170:7939 8194:8963 9218:9987 10242:11011 11266:12035 12290:13059 13314:14083 14338:15107 15362:16131" s="166" customFormat="1" ht="62.4" x14ac:dyDescent="0.3">
      <c r="A1275" s="167"/>
      <c r="B1275" s="169"/>
      <c r="C1275" s="66" t="s">
        <v>998</v>
      </c>
      <c r="D1275" s="76" t="s">
        <v>891</v>
      </c>
      <c r="E1275" s="73">
        <f>(3.15*0.48)/2</f>
        <v>0.75600000000000001</v>
      </c>
      <c r="F1275" s="74">
        <f>540000*40%</f>
        <v>216000</v>
      </c>
      <c r="G1275" s="40">
        <f>E1275*F1275</f>
        <v>163296</v>
      </c>
      <c r="H1275" s="20" t="s">
        <v>2374</v>
      </c>
    </row>
    <row r="1276" spans="1:771 1026:1795 2050:2819 3074:3843 4098:4867 5122:5891 6146:6915 7170:7939 8194:8963 9218:9987 10242:11011 11266:12035 12290:13059 13314:14083 14338:15107 15362:16131" s="166" customFormat="1" ht="41.4" x14ac:dyDescent="0.25">
      <c r="A1276" s="167"/>
      <c r="B1276" s="169"/>
      <c r="C1276" s="66" t="s">
        <v>186</v>
      </c>
      <c r="D1276" s="76" t="s">
        <v>891</v>
      </c>
      <c r="E1276" s="73">
        <f>1.8*1.5</f>
        <v>2.7</v>
      </c>
      <c r="F1276" s="40">
        <v>361000</v>
      </c>
      <c r="G1276" s="40">
        <f>E1276*F1276</f>
        <v>974700.00000000012</v>
      </c>
      <c r="H1276" s="45" t="s">
        <v>999</v>
      </c>
    </row>
    <row r="1277" spans="1:771 1026:1795 2050:2819 3074:3843 4098:4867 5122:5891 6146:6915 7170:7939 8194:8963 9218:9987 10242:11011 11266:12035 12290:13059 13314:14083 14338:15107 15362:16131" s="166" customFormat="1" x14ac:dyDescent="0.25">
      <c r="A1277" s="167"/>
      <c r="B1277" s="169"/>
      <c r="C1277" s="66" t="s">
        <v>105</v>
      </c>
      <c r="D1277" s="76" t="s">
        <v>991</v>
      </c>
      <c r="E1277" s="73">
        <v>1</v>
      </c>
      <c r="F1277" s="74"/>
      <c r="G1277" s="40">
        <f>E1277*F1277</f>
        <v>0</v>
      </c>
      <c r="H1277" s="52" t="s">
        <v>2353</v>
      </c>
    </row>
    <row r="1278" spans="1:771 1026:1795 2050:2819 3074:3843 4098:4867 5122:5891 6146:6915 7170:7939 8194:8963 9218:9987 10242:11011 11266:12035 12290:13059 13314:14083 14338:15107 15362:16131" s="166" customFormat="1" x14ac:dyDescent="0.25">
      <c r="A1278" s="167"/>
      <c r="B1278" s="169"/>
      <c r="C1278" s="47" t="s">
        <v>20</v>
      </c>
      <c r="D1278" s="76"/>
      <c r="E1278" s="73"/>
      <c r="F1278" s="74"/>
      <c r="G1278" s="41">
        <f>SUM(G1279:G1281)</f>
        <v>691000</v>
      </c>
      <c r="H1278" s="45"/>
    </row>
    <row r="1279" spans="1:771 1026:1795 2050:2819 3074:3843 4098:4867 5122:5891 6146:6915 7170:7939 8194:8963 9218:9987 10242:11011 11266:12035 12290:13059 13314:14083 14338:15107 15362:16131" s="166" customFormat="1" x14ac:dyDescent="0.25">
      <c r="A1279" s="167"/>
      <c r="B1279" s="169"/>
      <c r="C1279" s="66" t="s">
        <v>631</v>
      </c>
      <c r="D1279" s="76" t="s">
        <v>22</v>
      </c>
      <c r="E1279" s="73">
        <v>1</v>
      </c>
      <c r="F1279" s="74">
        <v>40000</v>
      </c>
      <c r="G1279" s="40">
        <f>E1279*F1279</f>
        <v>40000</v>
      </c>
      <c r="H1279" s="45"/>
    </row>
    <row r="1280" spans="1:771 1026:1795 2050:2819 3074:3843 4098:4867 5122:5891 6146:6915 7170:7939 8194:8963 9218:9987 10242:11011 11266:12035 12290:13059 13314:14083 14338:15107 15362:16131" s="166" customFormat="1" x14ac:dyDescent="0.25">
      <c r="A1280" s="167"/>
      <c r="B1280" s="169"/>
      <c r="C1280" s="66" t="s">
        <v>1000</v>
      </c>
      <c r="D1280" s="76" t="s">
        <v>22</v>
      </c>
      <c r="E1280" s="73">
        <v>3</v>
      </c>
      <c r="F1280" s="74">
        <v>4000</v>
      </c>
      <c r="G1280" s="40">
        <f>E1280*F1280</f>
        <v>12000</v>
      </c>
      <c r="H1280" s="45"/>
    </row>
    <row r="1281" spans="1:771 1026:1795 2050:2819 3074:3843 4098:4867 5122:5891 6146:6915 7170:7939 8194:8963 9218:9987 10242:11011 11266:12035 12290:13059 13314:14083 14338:15107 15362:16131" s="166" customFormat="1" x14ac:dyDescent="0.25">
      <c r="A1281" s="167"/>
      <c r="B1281" s="169"/>
      <c r="C1281" s="66" t="s">
        <v>1001</v>
      </c>
      <c r="D1281" s="76" t="s">
        <v>21</v>
      </c>
      <c r="E1281" s="73">
        <v>1</v>
      </c>
      <c r="F1281" s="74">
        <v>639000</v>
      </c>
      <c r="G1281" s="40">
        <f>E1281*F1281</f>
        <v>639000</v>
      </c>
      <c r="H1281" s="45"/>
    </row>
    <row r="1282" spans="1:771 1026:1795 2050:2819 3074:3843 4098:4867 5122:5891 6146:6915 7170:7939 8194:8963 9218:9987 10242:11011 11266:12035 12290:13059 13314:14083 14338:15107 15362:16131" s="35" customFormat="1" ht="65.400000000000006" thickBot="1" x14ac:dyDescent="0.35">
      <c r="A1282" s="53"/>
      <c r="B1282" s="54"/>
      <c r="C1282" s="55" t="s">
        <v>2331</v>
      </c>
      <c r="D1282" s="56"/>
      <c r="E1282" s="5"/>
      <c r="F1282" s="6"/>
      <c r="G1282" s="57"/>
      <c r="H1282" s="58"/>
    </row>
    <row r="1283" spans="1:771 1026:1795 2050:2819 3074:3843 4098:4867 5122:5891 6146:6915 7170:7939 8194:8963 9218:9987 10242:11011 11266:12035 12290:13059 13314:14083 14338:15107 15362:16131" s="172" customFormat="1" ht="31.8" thickBot="1" x14ac:dyDescent="0.3">
      <c r="A1283" s="154"/>
      <c r="B1283" s="155" t="s">
        <v>26</v>
      </c>
      <c r="C1283" s="156"/>
      <c r="D1283" s="154"/>
      <c r="E1283" s="157"/>
      <c r="F1283" s="158"/>
      <c r="G1283" s="159">
        <f>SUM(G1269:G1282)/2</f>
        <v>420126416</v>
      </c>
      <c r="H1283" s="160"/>
      <c r="IX1283" s="166"/>
      <c r="IY1283" s="166"/>
      <c r="ST1283" s="166"/>
      <c r="SU1283" s="166"/>
      <c r="ACP1283" s="166"/>
      <c r="ACQ1283" s="166"/>
      <c r="AML1283" s="166"/>
      <c r="AMM1283" s="166"/>
      <c r="AWH1283" s="166"/>
      <c r="AWI1283" s="166"/>
      <c r="BGD1283" s="166"/>
      <c r="BGE1283" s="166"/>
      <c r="BPZ1283" s="166"/>
      <c r="BQA1283" s="166"/>
      <c r="BZV1283" s="166"/>
      <c r="BZW1283" s="166"/>
      <c r="CJR1283" s="166"/>
      <c r="CJS1283" s="166"/>
      <c r="CTN1283" s="166"/>
      <c r="CTO1283" s="166"/>
      <c r="DDJ1283" s="166"/>
      <c r="DDK1283" s="166"/>
      <c r="DNF1283" s="166"/>
      <c r="DNG1283" s="166"/>
      <c r="DXB1283" s="166"/>
      <c r="DXC1283" s="166"/>
      <c r="EGX1283" s="166"/>
      <c r="EGY1283" s="166"/>
      <c r="EQT1283" s="166"/>
      <c r="EQU1283" s="166"/>
      <c r="FAP1283" s="166"/>
      <c r="FAQ1283" s="166"/>
      <c r="FKL1283" s="166"/>
      <c r="FKM1283" s="166"/>
      <c r="FUH1283" s="166"/>
      <c r="FUI1283" s="166"/>
      <c r="GED1283" s="166"/>
      <c r="GEE1283" s="166"/>
      <c r="GNZ1283" s="166"/>
      <c r="GOA1283" s="166"/>
      <c r="GXV1283" s="166"/>
      <c r="GXW1283" s="166"/>
      <c r="HHR1283" s="166"/>
      <c r="HHS1283" s="166"/>
      <c r="HRN1283" s="166"/>
      <c r="HRO1283" s="166"/>
      <c r="IBJ1283" s="166"/>
      <c r="IBK1283" s="166"/>
      <c r="ILF1283" s="166"/>
      <c r="ILG1283" s="166"/>
      <c r="IVB1283" s="166"/>
      <c r="IVC1283" s="166"/>
      <c r="JEX1283" s="166"/>
      <c r="JEY1283" s="166"/>
      <c r="JOT1283" s="166"/>
      <c r="JOU1283" s="166"/>
      <c r="JYP1283" s="166"/>
      <c r="JYQ1283" s="166"/>
      <c r="KIL1283" s="166"/>
      <c r="KIM1283" s="166"/>
      <c r="KSH1283" s="166"/>
      <c r="KSI1283" s="166"/>
      <c r="LCD1283" s="166"/>
      <c r="LCE1283" s="166"/>
      <c r="LLZ1283" s="166"/>
      <c r="LMA1283" s="166"/>
      <c r="LVV1283" s="166"/>
      <c r="LVW1283" s="166"/>
      <c r="MFR1283" s="166"/>
      <c r="MFS1283" s="166"/>
      <c r="MPN1283" s="166"/>
      <c r="MPO1283" s="166"/>
      <c r="MZJ1283" s="166"/>
      <c r="MZK1283" s="166"/>
      <c r="NJF1283" s="166"/>
      <c r="NJG1283" s="166"/>
      <c r="NTB1283" s="166"/>
      <c r="NTC1283" s="166"/>
      <c r="OCX1283" s="166"/>
      <c r="OCY1283" s="166"/>
      <c r="OMT1283" s="166"/>
      <c r="OMU1283" s="166"/>
      <c r="OWP1283" s="166"/>
      <c r="OWQ1283" s="166"/>
      <c r="PGL1283" s="166"/>
      <c r="PGM1283" s="166"/>
      <c r="PQH1283" s="166"/>
      <c r="PQI1283" s="166"/>
      <c r="QAD1283" s="166"/>
      <c r="QAE1283" s="166"/>
      <c r="QJZ1283" s="166"/>
      <c r="QKA1283" s="166"/>
      <c r="QTV1283" s="166"/>
      <c r="QTW1283" s="166"/>
      <c r="RDR1283" s="166"/>
      <c r="RDS1283" s="166"/>
      <c r="RNN1283" s="166"/>
      <c r="RNO1283" s="166"/>
      <c r="RXJ1283" s="166"/>
      <c r="RXK1283" s="166"/>
      <c r="SHF1283" s="166"/>
      <c r="SHG1283" s="166"/>
      <c r="SRB1283" s="166"/>
      <c r="SRC1283" s="166"/>
      <c r="TAX1283" s="166"/>
      <c r="TAY1283" s="166"/>
      <c r="TKT1283" s="166"/>
      <c r="TKU1283" s="166"/>
      <c r="TUP1283" s="166"/>
      <c r="TUQ1283" s="166"/>
      <c r="UEL1283" s="166"/>
      <c r="UEM1283" s="166"/>
      <c r="UOH1283" s="166"/>
      <c r="UOI1283" s="166"/>
      <c r="UYD1283" s="166"/>
      <c r="UYE1283" s="166"/>
      <c r="VHZ1283" s="166"/>
      <c r="VIA1283" s="166"/>
      <c r="VRV1283" s="166"/>
      <c r="VRW1283" s="166"/>
      <c r="WBR1283" s="166"/>
      <c r="WBS1283" s="166"/>
      <c r="WLN1283" s="166"/>
      <c r="WLO1283" s="166"/>
      <c r="WVJ1283" s="166"/>
      <c r="WVK1283" s="166"/>
    </row>
    <row r="1284" spans="1:771 1026:1795 2050:2819 3074:3843 4098:4867 5122:5891 6146:6915 7170:7939 8194:8963 9218:9987 10242:11011 11266:12035 12290:13059 13314:14083 14338:15107 15362:16131" s="166" customFormat="1" ht="151.80000000000001" x14ac:dyDescent="0.25">
      <c r="A1284" s="164">
        <v>120</v>
      </c>
      <c r="B1284" s="183" t="s">
        <v>1002</v>
      </c>
      <c r="C1284" s="78" t="s">
        <v>1003</v>
      </c>
      <c r="D1284" s="79" t="s">
        <v>13</v>
      </c>
      <c r="E1284" s="80">
        <f>9+7.1</f>
        <v>16.100000000000001</v>
      </c>
      <c r="F1284" s="81"/>
      <c r="G1284" s="33"/>
      <c r="H1284" s="34" t="s">
        <v>1004</v>
      </c>
    </row>
    <row r="1285" spans="1:771 1026:1795 2050:2819 3074:3843 4098:4867 5122:5891 6146:6915 7170:7939 8194:8963 9218:9987 10242:11011 11266:12035 12290:13059 13314:14083 14338:15107 15362:16131" s="166" customFormat="1" x14ac:dyDescent="0.25">
      <c r="A1285" s="167"/>
      <c r="B1285" s="168" t="s">
        <v>1005</v>
      </c>
      <c r="C1285" s="38" t="s">
        <v>14</v>
      </c>
      <c r="D1285" s="76"/>
      <c r="E1285" s="73"/>
      <c r="F1285" s="74"/>
      <c r="G1285" s="41">
        <f>SUM(G1286)</f>
        <v>313611900</v>
      </c>
      <c r="H1285" s="42"/>
    </row>
    <row r="1286" spans="1:771 1026:1795 2050:2819 3074:3843 4098:4867 5122:5891 6146:6915 7170:7939 8194:8963 9218:9987 10242:11011 11266:12035 12290:13059 13314:14083 14338:15107 15362:16131" s="166" customFormat="1" ht="55.8" x14ac:dyDescent="0.3">
      <c r="A1286" s="167"/>
      <c r="B1286" s="168" t="s">
        <v>1006</v>
      </c>
      <c r="C1286" s="48" t="s">
        <v>38</v>
      </c>
      <c r="D1286" s="76" t="s">
        <v>13</v>
      </c>
      <c r="E1286" s="73">
        <v>16.100000000000001</v>
      </c>
      <c r="F1286" s="161">
        <v>19479000</v>
      </c>
      <c r="G1286" s="40">
        <f>E1286*F1286</f>
        <v>313611900</v>
      </c>
      <c r="H1286" s="42"/>
    </row>
    <row r="1287" spans="1:771 1026:1795 2050:2819 3074:3843 4098:4867 5122:5891 6146:6915 7170:7939 8194:8963 9218:9987 10242:11011 11266:12035 12290:13059 13314:14083 14338:15107 15362:16131" s="166" customFormat="1" x14ac:dyDescent="0.25">
      <c r="A1287" s="167"/>
      <c r="B1287" s="169" t="s">
        <v>1007</v>
      </c>
      <c r="C1287" s="47" t="s">
        <v>35</v>
      </c>
      <c r="D1287" s="76"/>
      <c r="E1287" s="73"/>
      <c r="F1287" s="74"/>
      <c r="G1287" s="41">
        <f>SUM(G1288:G1293)</f>
        <v>48480840</v>
      </c>
      <c r="H1287" s="45"/>
    </row>
    <row r="1288" spans="1:771 1026:1795 2050:2819 3074:3843 4098:4867 5122:5891 6146:6915 7170:7939 8194:8963 9218:9987 10242:11011 11266:12035 12290:13059 13314:14083 14338:15107 15362:16131" s="166" customFormat="1" x14ac:dyDescent="0.25">
      <c r="A1288" s="167"/>
      <c r="B1288" s="169"/>
      <c r="C1288" s="47" t="s">
        <v>1008</v>
      </c>
      <c r="D1288" s="76"/>
      <c r="E1288" s="73"/>
      <c r="F1288" s="74"/>
      <c r="G1288" s="40"/>
      <c r="H1288" s="45"/>
    </row>
    <row r="1289" spans="1:771 1026:1795 2050:2819 3074:3843 4098:4867 5122:5891 6146:6915 7170:7939 8194:8963 9218:9987 10242:11011 11266:12035 12290:13059 13314:14083 14338:15107 15362:16131" s="166" customFormat="1" ht="93.6" x14ac:dyDescent="0.25">
      <c r="A1289" s="167"/>
      <c r="B1289" s="169"/>
      <c r="C1289" s="66" t="s">
        <v>1009</v>
      </c>
      <c r="D1289" s="76" t="s">
        <v>891</v>
      </c>
      <c r="E1289" s="73">
        <f>(2*4.5)</f>
        <v>9</v>
      </c>
      <c r="F1289" s="74">
        <v>3592000</v>
      </c>
      <c r="G1289" s="40">
        <f>E1289*F1289</f>
        <v>32328000</v>
      </c>
      <c r="H1289" s="45" t="s">
        <v>2472</v>
      </c>
    </row>
    <row r="1290" spans="1:771 1026:1795 2050:2819 3074:3843 4098:4867 5122:5891 6146:6915 7170:7939 8194:8963 9218:9987 10242:11011 11266:12035 12290:13059 13314:14083 14338:15107 15362:16131" s="166" customFormat="1" x14ac:dyDescent="0.25">
      <c r="A1290" s="167"/>
      <c r="B1290" s="169"/>
      <c r="C1290" s="66" t="s">
        <v>105</v>
      </c>
      <c r="D1290" s="76" t="s">
        <v>991</v>
      </c>
      <c r="E1290" s="73">
        <v>1</v>
      </c>
      <c r="F1290" s="74"/>
      <c r="G1290" s="40">
        <f>E1290*F1290</f>
        <v>0</v>
      </c>
      <c r="H1290" s="52" t="s">
        <v>2353</v>
      </c>
    </row>
    <row r="1291" spans="1:771 1026:1795 2050:2819 3074:3843 4098:4867 5122:5891 6146:6915 7170:7939 8194:8963 9218:9987 10242:11011 11266:12035 12290:13059 13314:14083 14338:15107 15362:16131" s="166" customFormat="1" x14ac:dyDescent="0.25">
      <c r="A1291" s="167"/>
      <c r="B1291" s="169"/>
      <c r="C1291" s="66" t="s">
        <v>1010</v>
      </c>
      <c r="D1291" s="76"/>
      <c r="E1291" s="73"/>
      <c r="F1291" s="74"/>
      <c r="G1291" s="40"/>
      <c r="H1291" s="45"/>
    </row>
    <row r="1292" spans="1:771 1026:1795 2050:2819 3074:3843 4098:4867 5122:5891 6146:6915 7170:7939 8194:8963 9218:9987 10242:11011 11266:12035 12290:13059 13314:14083 14338:15107 15362:16131" s="166" customFormat="1" ht="109.2" x14ac:dyDescent="0.25">
      <c r="A1292" s="167"/>
      <c r="B1292" s="169"/>
      <c r="C1292" s="66" t="s">
        <v>1011</v>
      </c>
      <c r="D1292" s="76" t="s">
        <v>891</v>
      </c>
      <c r="E1292" s="73">
        <f>1.32*3.3</f>
        <v>4.3559999999999999</v>
      </c>
      <c r="F1292" s="74">
        <v>3592000</v>
      </c>
      <c r="G1292" s="40">
        <f>E1292*F1292</f>
        <v>15646752</v>
      </c>
      <c r="H1292" s="45" t="s">
        <v>2473</v>
      </c>
    </row>
    <row r="1293" spans="1:771 1026:1795 2050:2819 3074:3843 4098:4867 5122:5891 6146:6915 7170:7939 8194:8963 9218:9987 10242:11011 11266:12035 12290:13059 13314:14083 14338:15107 15362:16131" s="166" customFormat="1" ht="62.4" x14ac:dyDescent="0.25">
      <c r="A1293" s="167"/>
      <c r="B1293" s="169"/>
      <c r="C1293" s="66" t="s">
        <v>1012</v>
      </c>
      <c r="D1293" s="76" t="s">
        <v>891</v>
      </c>
      <c r="E1293" s="73">
        <f>0.71*3.3</f>
        <v>2.343</v>
      </c>
      <c r="F1293" s="74">
        <f>540000*40%</f>
        <v>216000</v>
      </c>
      <c r="G1293" s="40">
        <f>E1293*F1293</f>
        <v>506088</v>
      </c>
      <c r="H1293" s="35" t="s">
        <v>2374</v>
      </c>
    </row>
    <row r="1294" spans="1:771 1026:1795 2050:2819 3074:3843 4098:4867 5122:5891 6146:6915 7170:7939 8194:8963 9218:9987 10242:11011 11266:12035 12290:13059 13314:14083 14338:15107 15362:16131" s="35" customFormat="1" ht="65.400000000000006" thickBot="1" x14ac:dyDescent="0.35">
      <c r="A1294" s="53"/>
      <c r="B1294" s="54"/>
      <c r="C1294" s="55" t="s">
        <v>2331</v>
      </c>
      <c r="D1294" s="56"/>
      <c r="E1294" s="5"/>
      <c r="F1294" s="6"/>
      <c r="G1294" s="57"/>
      <c r="H1294" s="58"/>
    </row>
    <row r="1295" spans="1:771 1026:1795 2050:2819 3074:3843 4098:4867 5122:5891 6146:6915 7170:7939 8194:8963 9218:9987 10242:11011 11266:12035 12290:13059 13314:14083 14338:15107 15362:16131" s="172" customFormat="1" ht="31.8" thickBot="1" x14ac:dyDescent="0.3">
      <c r="A1295" s="154"/>
      <c r="B1295" s="155" t="s">
        <v>26</v>
      </c>
      <c r="C1295" s="156"/>
      <c r="D1295" s="154"/>
      <c r="E1295" s="157"/>
      <c r="F1295" s="158"/>
      <c r="G1295" s="159">
        <f>SUM(G1284:G1294)/2</f>
        <v>362092740</v>
      </c>
      <c r="H1295" s="160"/>
      <c r="IX1295" s="166"/>
      <c r="IY1295" s="166"/>
      <c r="ST1295" s="166"/>
      <c r="SU1295" s="166"/>
      <c r="ACP1295" s="166"/>
      <c r="ACQ1295" s="166"/>
      <c r="AML1295" s="166"/>
      <c r="AMM1295" s="166"/>
      <c r="AWH1295" s="166"/>
      <c r="AWI1295" s="166"/>
      <c r="BGD1295" s="166"/>
      <c r="BGE1295" s="166"/>
      <c r="BPZ1295" s="166"/>
      <c r="BQA1295" s="166"/>
      <c r="BZV1295" s="166"/>
      <c r="BZW1295" s="166"/>
      <c r="CJR1295" s="166"/>
      <c r="CJS1295" s="166"/>
      <c r="CTN1295" s="166"/>
      <c r="CTO1295" s="166"/>
      <c r="DDJ1295" s="166"/>
      <c r="DDK1295" s="166"/>
      <c r="DNF1295" s="166"/>
      <c r="DNG1295" s="166"/>
      <c r="DXB1295" s="166"/>
      <c r="DXC1295" s="166"/>
      <c r="EGX1295" s="166"/>
      <c r="EGY1295" s="166"/>
      <c r="EQT1295" s="166"/>
      <c r="EQU1295" s="166"/>
      <c r="FAP1295" s="166"/>
      <c r="FAQ1295" s="166"/>
      <c r="FKL1295" s="166"/>
      <c r="FKM1295" s="166"/>
      <c r="FUH1295" s="166"/>
      <c r="FUI1295" s="166"/>
      <c r="GED1295" s="166"/>
      <c r="GEE1295" s="166"/>
      <c r="GNZ1295" s="166"/>
      <c r="GOA1295" s="166"/>
      <c r="GXV1295" s="166"/>
      <c r="GXW1295" s="166"/>
      <c r="HHR1295" s="166"/>
      <c r="HHS1295" s="166"/>
      <c r="HRN1295" s="166"/>
      <c r="HRO1295" s="166"/>
      <c r="IBJ1295" s="166"/>
      <c r="IBK1295" s="166"/>
      <c r="ILF1295" s="166"/>
      <c r="ILG1295" s="166"/>
      <c r="IVB1295" s="166"/>
      <c r="IVC1295" s="166"/>
      <c r="JEX1295" s="166"/>
      <c r="JEY1295" s="166"/>
      <c r="JOT1295" s="166"/>
      <c r="JOU1295" s="166"/>
      <c r="JYP1295" s="166"/>
      <c r="JYQ1295" s="166"/>
      <c r="KIL1295" s="166"/>
      <c r="KIM1295" s="166"/>
      <c r="KSH1295" s="166"/>
      <c r="KSI1295" s="166"/>
      <c r="LCD1295" s="166"/>
      <c r="LCE1295" s="166"/>
      <c r="LLZ1295" s="166"/>
      <c r="LMA1295" s="166"/>
      <c r="LVV1295" s="166"/>
      <c r="LVW1295" s="166"/>
      <c r="MFR1295" s="166"/>
      <c r="MFS1295" s="166"/>
      <c r="MPN1295" s="166"/>
      <c r="MPO1295" s="166"/>
      <c r="MZJ1295" s="166"/>
      <c r="MZK1295" s="166"/>
      <c r="NJF1295" s="166"/>
      <c r="NJG1295" s="166"/>
      <c r="NTB1295" s="166"/>
      <c r="NTC1295" s="166"/>
      <c r="OCX1295" s="166"/>
      <c r="OCY1295" s="166"/>
      <c r="OMT1295" s="166"/>
      <c r="OMU1295" s="166"/>
      <c r="OWP1295" s="166"/>
      <c r="OWQ1295" s="166"/>
      <c r="PGL1295" s="166"/>
      <c r="PGM1295" s="166"/>
      <c r="PQH1295" s="166"/>
      <c r="PQI1295" s="166"/>
      <c r="QAD1295" s="166"/>
      <c r="QAE1295" s="166"/>
      <c r="QJZ1295" s="166"/>
      <c r="QKA1295" s="166"/>
      <c r="QTV1295" s="166"/>
      <c r="QTW1295" s="166"/>
      <c r="RDR1295" s="166"/>
      <c r="RDS1295" s="166"/>
      <c r="RNN1295" s="166"/>
      <c r="RNO1295" s="166"/>
      <c r="RXJ1295" s="166"/>
      <c r="RXK1295" s="166"/>
      <c r="SHF1295" s="166"/>
      <c r="SHG1295" s="166"/>
      <c r="SRB1295" s="166"/>
      <c r="SRC1295" s="166"/>
      <c r="TAX1295" s="166"/>
      <c r="TAY1295" s="166"/>
      <c r="TKT1295" s="166"/>
      <c r="TKU1295" s="166"/>
      <c r="TUP1295" s="166"/>
      <c r="TUQ1295" s="166"/>
      <c r="UEL1295" s="166"/>
      <c r="UEM1295" s="166"/>
      <c r="UOH1295" s="166"/>
      <c r="UOI1295" s="166"/>
      <c r="UYD1295" s="166"/>
      <c r="UYE1295" s="166"/>
      <c r="VHZ1295" s="166"/>
      <c r="VIA1295" s="166"/>
      <c r="VRV1295" s="166"/>
      <c r="VRW1295" s="166"/>
      <c r="WBR1295" s="166"/>
      <c r="WBS1295" s="166"/>
      <c r="WLN1295" s="166"/>
      <c r="WLO1295" s="166"/>
      <c r="WVJ1295" s="166"/>
      <c r="WVK1295" s="166"/>
    </row>
    <row r="1296" spans="1:771 1026:1795 2050:2819 3074:3843 4098:4867 5122:5891 6146:6915 7170:7939 8194:8963 9218:9987 10242:11011 11266:12035 12290:13059 13314:14083 14338:15107 15362:16131" s="166" customFormat="1" ht="55.2" x14ac:dyDescent="0.25">
      <c r="A1296" s="164">
        <v>121</v>
      </c>
      <c r="B1296" s="181" t="s">
        <v>1013</v>
      </c>
      <c r="C1296" s="78" t="s">
        <v>1014</v>
      </c>
      <c r="D1296" s="79" t="s">
        <v>13</v>
      </c>
      <c r="E1296" s="80">
        <v>6.7</v>
      </c>
      <c r="F1296" s="81"/>
      <c r="G1296" s="33"/>
      <c r="H1296" s="34" t="s">
        <v>1015</v>
      </c>
    </row>
    <row r="1297" spans="1:771 1026:1795 2050:2819 3074:3843 4098:4867 5122:5891 6146:6915 7170:7939 8194:8963 9218:9987 10242:11011 11266:12035 12290:13059 13314:14083 14338:15107 15362:16131" s="166" customFormat="1" x14ac:dyDescent="0.25">
      <c r="A1297" s="167"/>
      <c r="B1297" s="168" t="s">
        <v>1016</v>
      </c>
      <c r="C1297" s="38" t="s">
        <v>14</v>
      </c>
      <c r="D1297" s="76"/>
      <c r="E1297" s="73"/>
      <c r="F1297" s="74"/>
      <c r="G1297" s="41">
        <f>SUM(G1298)</f>
        <v>130509300</v>
      </c>
      <c r="H1297" s="42"/>
    </row>
    <row r="1298" spans="1:771 1026:1795 2050:2819 3074:3843 4098:4867 5122:5891 6146:6915 7170:7939 8194:8963 9218:9987 10242:11011 11266:12035 12290:13059 13314:14083 14338:15107 15362:16131" s="166" customFormat="1" ht="69.599999999999994" x14ac:dyDescent="0.3">
      <c r="A1298" s="167"/>
      <c r="B1298" s="168" t="s">
        <v>1017</v>
      </c>
      <c r="C1298" s="48" t="s">
        <v>38</v>
      </c>
      <c r="D1298" s="76" t="s">
        <v>13</v>
      </c>
      <c r="E1298" s="73">
        <v>6.7</v>
      </c>
      <c r="F1298" s="161">
        <v>19479000</v>
      </c>
      <c r="G1298" s="40">
        <f>E1298*F1298</f>
        <v>130509300</v>
      </c>
      <c r="H1298" s="42"/>
    </row>
    <row r="1299" spans="1:771 1026:1795 2050:2819 3074:3843 4098:4867 5122:5891 6146:6915 7170:7939 8194:8963 9218:9987 10242:11011 11266:12035 12290:13059 13314:14083 14338:15107 15362:16131" s="166" customFormat="1" x14ac:dyDescent="0.25">
      <c r="A1299" s="167"/>
      <c r="B1299" s="169"/>
      <c r="C1299" s="47" t="s">
        <v>35</v>
      </c>
      <c r="D1299" s="76"/>
      <c r="E1299" s="73"/>
      <c r="F1299" s="74"/>
      <c r="G1299" s="41">
        <f>SUM(G1300:G1302)</f>
        <v>16562406.959999999</v>
      </c>
      <c r="H1299" s="45"/>
    </row>
    <row r="1300" spans="1:771 1026:1795 2050:2819 3074:3843 4098:4867 5122:5891 6146:6915 7170:7939 8194:8963 9218:9987 10242:11011 11266:12035 12290:13059 13314:14083 14338:15107 15362:16131" s="166" customFormat="1" ht="93.6" x14ac:dyDescent="0.25">
      <c r="A1300" s="167"/>
      <c r="B1300" s="169"/>
      <c r="C1300" s="66" t="s">
        <v>1018</v>
      </c>
      <c r="D1300" s="76" t="s">
        <v>891</v>
      </c>
      <c r="E1300" s="73">
        <f>((1.74*1.53)/2)*3.3</f>
        <v>4.3926299999999996</v>
      </c>
      <c r="F1300" s="74">
        <v>3592000</v>
      </c>
      <c r="G1300" s="40">
        <f>E1300*F1300</f>
        <v>15778326.959999999</v>
      </c>
      <c r="H1300" s="45" t="s">
        <v>2474</v>
      </c>
    </row>
    <row r="1301" spans="1:771 1026:1795 2050:2819 3074:3843 4098:4867 5122:5891 6146:6915 7170:7939 8194:8963 9218:9987 10242:11011 11266:12035 12290:13059 13314:14083 14338:15107 15362:16131" s="166" customFormat="1" ht="31.2" x14ac:dyDescent="0.25">
      <c r="A1301" s="167"/>
      <c r="B1301" s="169"/>
      <c r="C1301" s="66" t="s">
        <v>1019</v>
      </c>
      <c r="D1301" s="76" t="s">
        <v>891</v>
      </c>
      <c r="E1301" s="73">
        <f>0.44*3.3</f>
        <v>1.452</v>
      </c>
      <c r="F1301" s="74">
        <v>540000</v>
      </c>
      <c r="G1301" s="40">
        <f>E1301*F1301</f>
        <v>784080</v>
      </c>
      <c r="H1301" s="45" t="s">
        <v>2375</v>
      </c>
    </row>
    <row r="1302" spans="1:771 1026:1795 2050:2819 3074:3843 4098:4867 5122:5891 6146:6915 7170:7939 8194:8963 9218:9987 10242:11011 11266:12035 12290:13059 13314:14083 14338:15107 15362:16131" s="166" customFormat="1" x14ac:dyDescent="0.25">
      <c r="A1302" s="167"/>
      <c r="B1302" s="169"/>
      <c r="C1302" s="66" t="s">
        <v>105</v>
      </c>
      <c r="D1302" s="76" t="s">
        <v>106</v>
      </c>
      <c r="E1302" s="73">
        <v>1</v>
      </c>
      <c r="F1302" s="74"/>
      <c r="G1302" s="40">
        <f>E1302*F1302</f>
        <v>0</v>
      </c>
      <c r="H1302" s="52" t="s">
        <v>2353</v>
      </c>
    </row>
    <row r="1303" spans="1:771 1026:1795 2050:2819 3074:3843 4098:4867 5122:5891 6146:6915 7170:7939 8194:8963 9218:9987 10242:11011 11266:12035 12290:13059 13314:14083 14338:15107 15362:16131" s="35" customFormat="1" ht="65.400000000000006" thickBot="1" x14ac:dyDescent="0.35">
      <c r="A1303" s="53"/>
      <c r="B1303" s="54"/>
      <c r="C1303" s="55" t="s">
        <v>2331</v>
      </c>
      <c r="D1303" s="56"/>
      <c r="E1303" s="5"/>
      <c r="F1303" s="6"/>
      <c r="G1303" s="57"/>
      <c r="H1303" s="58"/>
    </row>
    <row r="1304" spans="1:771 1026:1795 2050:2819 3074:3843 4098:4867 5122:5891 6146:6915 7170:7939 8194:8963 9218:9987 10242:11011 11266:12035 12290:13059 13314:14083 14338:15107 15362:16131" s="172" customFormat="1" ht="31.8" thickBot="1" x14ac:dyDescent="0.3">
      <c r="A1304" s="154"/>
      <c r="B1304" s="155" t="s">
        <v>26</v>
      </c>
      <c r="C1304" s="156"/>
      <c r="D1304" s="154"/>
      <c r="E1304" s="157"/>
      <c r="F1304" s="158"/>
      <c r="G1304" s="159">
        <f>SUM(G1296:G1303)/2</f>
        <v>147071706.95999998</v>
      </c>
      <c r="H1304" s="160"/>
      <c r="IX1304" s="166"/>
      <c r="IY1304" s="166"/>
      <c r="ST1304" s="166"/>
      <c r="SU1304" s="166"/>
      <c r="ACP1304" s="166"/>
      <c r="ACQ1304" s="166"/>
      <c r="AML1304" s="166"/>
      <c r="AMM1304" s="166"/>
      <c r="AWH1304" s="166"/>
      <c r="AWI1304" s="166"/>
      <c r="BGD1304" s="166"/>
      <c r="BGE1304" s="166"/>
      <c r="BPZ1304" s="166"/>
      <c r="BQA1304" s="166"/>
      <c r="BZV1304" s="166"/>
      <c r="BZW1304" s="166"/>
      <c r="CJR1304" s="166"/>
      <c r="CJS1304" s="166"/>
      <c r="CTN1304" s="166"/>
      <c r="CTO1304" s="166"/>
      <c r="DDJ1304" s="166"/>
      <c r="DDK1304" s="166"/>
      <c r="DNF1304" s="166"/>
      <c r="DNG1304" s="166"/>
      <c r="DXB1304" s="166"/>
      <c r="DXC1304" s="166"/>
      <c r="EGX1304" s="166"/>
      <c r="EGY1304" s="166"/>
      <c r="EQT1304" s="166"/>
      <c r="EQU1304" s="166"/>
      <c r="FAP1304" s="166"/>
      <c r="FAQ1304" s="166"/>
      <c r="FKL1304" s="166"/>
      <c r="FKM1304" s="166"/>
      <c r="FUH1304" s="166"/>
      <c r="FUI1304" s="166"/>
      <c r="GED1304" s="166"/>
      <c r="GEE1304" s="166"/>
      <c r="GNZ1304" s="166"/>
      <c r="GOA1304" s="166"/>
      <c r="GXV1304" s="166"/>
      <c r="GXW1304" s="166"/>
      <c r="HHR1304" s="166"/>
      <c r="HHS1304" s="166"/>
      <c r="HRN1304" s="166"/>
      <c r="HRO1304" s="166"/>
      <c r="IBJ1304" s="166"/>
      <c r="IBK1304" s="166"/>
      <c r="ILF1304" s="166"/>
      <c r="ILG1304" s="166"/>
      <c r="IVB1304" s="166"/>
      <c r="IVC1304" s="166"/>
      <c r="JEX1304" s="166"/>
      <c r="JEY1304" s="166"/>
      <c r="JOT1304" s="166"/>
      <c r="JOU1304" s="166"/>
      <c r="JYP1304" s="166"/>
      <c r="JYQ1304" s="166"/>
      <c r="KIL1304" s="166"/>
      <c r="KIM1304" s="166"/>
      <c r="KSH1304" s="166"/>
      <c r="KSI1304" s="166"/>
      <c r="LCD1304" s="166"/>
      <c r="LCE1304" s="166"/>
      <c r="LLZ1304" s="166"/>
      <c r="LMA1304" s="166"/>
      <c r="LVV1304" s="166"/>
      <c r="LVW1304" s="166"/>
      <c r="MFR1304" s="166"/>
      <c r="MFS1304" s="166"/>
      <c r="MPN1304" s="166"/>
      <c r="MPO1304" s="166"/>
      <c r="MZJ1304" s="166"/>
      <c r="MZK1304" s="166"/>
      <c r="NJF1304" s="166"/>
      <c r="NJG1304" s="166"/>
      <c r="NTB1304" s="166"/>
      <c r="NTC1304" s="166"/>
      <c r="OCX1304" s="166"/>
      <c r="OCY1304" s="166"/>
      <c r="OMT1304" s="166"/>
      <c r="OMU1304" s="166"/>
      <c r="OWP1304" s="166"/>
      <c r="OWQ1304" s="166"/>
      <c r="PGL1304" s="166"/>
      <c r="PGM1304" s="166"/>
      <c r="PQH1304" s="166"/>
      <c r="PQI1304" s="166"/>
      <c r="QAD1304" s="166"/>
      <c r="QAE1304" s="166"/>
      <c r="QJZ1304" s="166"/>
      <c r="QKA1304" s="166"/>
      <c r="QTV1304" s="166"/>
      <c r="QTW1304" s="166"/>
      <c r="RDR1304" s="166"/>
      <c r="RDS1304" s="166"/>
      <c r="RNN1304" s="166"/>
      <c r="RNO1304" s="166"/>
      <c r="RXJ1304" s="166"/>
      <c r="RXK1304" s="166"/>
      <c r="SHF1304" s="166"/>
      <c r="SHG1304" s="166"/>
      <c r="SRB1304" s="166"/>
      <c r="SRC1304" s="166"/>
      <c r="TAX1304" s="166"/>
      <c r="TAY1304" s="166"/>
      <c r="TKT1304" s="166"/>
      <c r="TKU1304" s="166"/>
      <c r="TUP1304" s="166"/>
      <c r="TUQ1304" s="166"/>
      <c r="UEL1304" s="166"/>
      <c r="UEM1304" s="166"/>
      <c r="UOH1304" s="166"/>
      <c r="UOI1304" s="166"/>
      <c r="UYD1304" s="166"/>
      <c r="UYE1304" s="166"/>
      <c r="VHZ1304" s="166"/>
      <c r="VIA1304" s="166"/>
      <c r="VRV1304" s="166"/>
      <c r="VRW1304" s="166"/>
      <c r="WBR1304" s="166"/>
      <c r="WBS1304" s="166"/>
      <c r="WLN1304" s="166"/>
      <c r="WLO1304" s="166"/>
      <c r="WVJ1304" s="166"/>
      <c r="WVK1304" s="166"/>
    </row>
    <row r="1305" spans="1:771 1026:1795 2050:2819 3074:3843 4098:4867 5122:5891 6146:6915 7170:7939 8194:8963 9218:9987 10242:11011 11266:12035 12290:13059 13314:14083 14338:15107 15362:16131" s="35" customFormat="1" ht="55.2" x14ac:dyDescent="0.3">
      <c r="A1305" s="28">
        <v>122</v>
      </c>
      <c r="B1305" s="29" t="s">
        <v>415</v>
      </c>
      <c r="C1305" s="30" t="s">
        <v>2153</v>
      </c>
      <c r="D1305" s="31" t="s">
        <v>13</v>
      </c>
      <c r="E1305" s="32">
        <v>27</v>
      </c>
      <c r="F1305" s="33"/>
      <c r="G1305" s="33"/>
      <c r="H1305" s="34" t="s">
        <v>2155</v>
      </c>
    </row>
    <row r="1306" spans="1:771 1026:1795 2050:2819 3074:3843 4098:4867 5122:5891 6146:6915 7170:7939 8194:8963 9218:9987 10242:11011 11266:12035 12290:13059 13314:14083 14338:15107 15362:16131" s="35" customFormat="1" x14ac:dyDescent="0.3">
      <c r="A1306" s="36"/>
      <c r="B1306" s="72" t="s">
        <v>412</v>
      </c>
      <c r="C1306" s="38" t="s">
        <v>14</v>
      </c>
      <c r="D1306" s="39"/>
      <c r="E1306" s="44"/>
      <c r="F1306" s="40"/>
      <c r="G1306" s="41">
        <f>SUM(G1307)</f>
        <v>280908000</v>
      </c>
      <c r="H1306" s="42"/>
    </row>
    <row r="1307" spans="1:771 1026:1795 2050:2819 3074:3843 4098:4867 5122:5891 6146:6915 7170:7939 8194:8963 9218:9987 10242:11011 11266:12035 12290:13059 13314:14083 14338:15107 15362:16131" s="35" customFormat="1" ht="46.8" x14ac:dyDescent="0.3">
      <c r="A1307" s="36"/>
      <c r="B1307" s="72" t="s">
        <v>2154</v>
      </c>
      <c r="C1307" s="43" t="s">
        <v>55</v>
      </c>
      <c r="D1307" s="39" t="s">
        <v>13</v>
      </c>
      <c r="E1307" s="44">
        <v>27</v>
      </c>
      <c r="F1307" s="153">
        <v>10404000</v>
      </c>
      <c r="G1307" s="40">
        <f>E1307*F1307</f>
        <v>280908000</v>
      </c>
      <c r="H1307" s="42"/>
    </row>
    <row r="1308" spans="1:771 1026:1795 2050:2819 3074:3843 4098:4867 5122:5891 6146:6915 7170:7939 8194:8963 9218:9987 10242:11011 11266:12035 12290:13059 13314:14083 14338:15107 15362:16131" s="35" customFormat="1" x14ac:dyDescent="0.3">
      <c r="A1308" s="36"/>
      <c r="B1308" s="46"/>
      <c r="C1308" s="51" t="s">
        <v>23</v>
      </c>
      <c r="D1308" s="39"/>
      <c r="E1308" s="1"/>
      <c r="F1308" s="2"/>
      <c r="G1308" s="41">
        <f>SUM(G1309)</f>
        <v>3060000</v>
      </c>
      <c r="H1308" s="52"/>
    </row>
    <row r="1309" spans="1:771 1026:1795 2050:2819 3074:3843 4098:4867 5122:5891 6146:6915 7170:7939 8194:8963 9218:9987 10242:11011 11266:12035 12290:13059 13314:14083 14338:15107 15362:16131" s="35" customFormat="1" x14ac:dyDescent="0.3">
      <c r="A1309" s="36"/>
      <c r="B1309" s="46"/>
      <c r="C1309" s="50" t="s">
        <v>24</v>
      </c>
      <c r="D1309" s="39" t="s">
        <v>25</v>
      </c>
      <c r="E1309" s="1">
        <f>1*30*6</f>
        <v>180</v>
      </c>
      <c r="F1309" s="2">
        <v>17000</v>
      </c>
      <c r="G1309" s="40">
        <f>E1309*F1309</f>
        <v>3060000</v>
      </c>
      <c r="H1309" s="42"/>
    </row>
    <row r="1310" spans="1:771 1026:1795 2050:2819 3074:3843 4098:4867 5122:5891 6146:6915 7170:7939 8194:8963 9218:9987 10242:11011 11266:12035 12290:13059 13314:14083 14338:15107 15362:16131" s="35" customFormat="1" ht="65.400000000000006" thickBot="1" x14ac:dyDescent="0.35">
      <c r="A1310" s="53"/>
      <c r="B1310" s="54"/>
      <c r="C1310" s="55" t="s">
        <v>2331</v>
      </c>
      <c r="D1310" s="56"/>
      <c r="E1310" s="5"/>
      <c r="F1310" s="6"/>
      <c r="G1310" s="57"/>
      <c r="H1310" s="58"/>
    </row>
    <row r="1311" spans="1:771 1026:1795 2050:2819 3074:3843 4098:4867 5122:5891 6146:6915 7170:7939 8194:8963 9218:9987 10242:11011 11266:12035 12290:13059 13314:14083 14338:15107 15362:16131" s="59" customFormat="1" ht="31.8" thickBot="1" x14ac:dyDescent="0.35">
      <c r="A1311" s="154"/>
      <c r="B1311" s="155" t="s">
        <v>26</v>
      </c>
      <c r="C1311" s="156"/>
      <c r="D1311" s="154"/>
      <c r="E1311" s="157"/>
      <c r="F1311" s="158"/>
      <c r="G1311" s="159">
        <f>SUM(G1305:G1310)/2</f>
        <v>283968000</v>
      </c>
      <c r="H1311" s="160"/>
      <c r="IX1311" s="35"/>
      <c r="IY1311" s="35"/>
      <c r="ST1311" s="35"/>
      <c r="SU1311" s="35"/>
      <c r="ACP1311" s="35"/>
      <c r="ACQ1311" s="35"/>
      <c r="AML1311" s="35"/>
      <c r="AMM1311" s="35"/>
      <c r="AWH1311" s="35"/>
      <c r="AWI1311" s="35"/>
      <c r="BGD1311" s="35"/>
      <c r="BGE1311" s="35"/>
      <c r="BPZ1311" s="35"/>
      <c r="BQA1311" s="35"/>
      <c r="BZV1311" s="35"/>
      <c r="BZW1311" s="35"/>
      <c r="CJR1311" s="35"/>
      <c r="CJS1311" s="35"/>
      <c r="CTN1311" s="35"/>
      <c r="CTO1311" s="35"/>
      <c r="DDJ1311" s="35"/>
      <c r="DDK1311" s="35"/>
      <c r="DNF1311" s="35"/>
      <c r="DNG1311" s="35"/>
      <c r="DXB1311" s="35"/>
      <c r="DXC1311" s="35"/>
      <c r="EGX1311" s="35"/>
      <c r="EGY1311" s="35"/>
      <c r="EQT1311" s="35"/>
      <c r="EQU1311" s="35"/>
      <c r="FAP1311" s="35"/>
      <c r="FAQ1311" s="35"/>
      <c r="FKL1311" s="35"/>
      <c r="FKM1311" s="35"/>
      <c r="FUH1311" s="35"/>
      <c r="FUI1311" s="35"/>
      <c r="GED1311" s="35"/>
      <c r="GEE1311" s="35"/>
      <c r="GNZ1311" s="35"/>
      <c r="GOA1311" s="35"/>
      <c r="GXV1311" s="35"/>
      <c r="GXW1311" s="35"/>
      <c r="HHR1311" s="35"/>
      <c r="HHS1311" s="35"/>
      <c r="HRN1311" s="35"/>
      <c r="HRO1311" s="35"/>
      <c r="IBJ1311" s="35"/>
      <c r="IBK1311" s="35"/>
      <c r="ILF1311" s="35"/>
      <c r="ILG1311" s="35"/>
      <c r="IVB1311" s="35"/>
      <c r="IVC1311" s="35"/>
      <c r="JEX1311" s="35"/>
      <c r="JEY1311" s="35"/>
      <c r="JOT1311" s="35"/>
      <c r="JOU1311" s="35"/>
      <c r="JYP1311" s="35"/>
      <c r="JYQ1311" s="35"/>
      <c r="KIL1311" s="35"/>
      <c r="KIM1311" s="35"/>
      <c r="KSH1311" s="35"/>
      <c r="KSI1311" s="35"/>
      <c r="LCD1311" s="35"/>
      <c r="LCE1311" s="35"/>
      <c r="LLZ1311" s="35"/>
      <c r="LMA1311" s="35"/>
      <c r="LVV1311" s="35"/>
      <c r="LVW1311" s="35"/>
      <c r="MFR1311" s="35"/>
      <c r="MFS1311" s="35"/>
      <c r="MPN1311" s="35"/>
      <c r="MPO1311" s="35"/>
      <c r="MZJ1311" s="35"/>
      <c r="MZK1311" s="35"/>
      <c r="NJF1311" s="35"/>
      <c r="NJG1311" s="35"/>
      <c r="NTB1311" s="35"/>
      <c r="NTC1311" s="35"/>
      <c r="OCX1311" s="35"/>
      <c r="OCY1311" s="35"/>
      <c r="OMT1311" s="35"/>
      <c r="OMU1311" s="35"/>
      <c r="OWP1311" s="35"/>
      <c r="OWQ1311" s="35"/>
      <c r="PGL1311" s="35"/>
      <c r="PGM1311" s="35"/>
      <c r="PQH1311" s="35"/>
      <c r="PQI1311" s="35"/>
      <c r="QAD1311" s="35"/>
      <c r="QAE1311" s="35"/>
      <c r="QJZ1311" s="35"/>
      <c r="QKA1311" s="35"/>
      <c r="QTV1311" s="35"/>
      <c r="QTW1311" s="35"/>
      <c r="RDR1311" s="35"/>
      <c r="RDS1311" s="35"/>
      <c r="RNN1311" s="35"/>
      <c r="RNO1311" s="35"/>
      <c r="RXJ1311" s="35"/>
      <c r="RXK1311" s="35"/>
      <c r="SHF1311" s="35"/>
      <c r="SHG1311" s="35"/>
      <c r="SRB1311" s="35"/>
      <c r="SRC1311" s="35"/>
      <c r="TAX1311" s="35"/>
      <c r="TAY1311" s="35"/>
      <c r="TKT1311" s="35"/>
      <c r="TKU1311" s="35"/>
      <c r="TUP1311" s="35"/>
      <c r="TUQ1311" s="35"/>
      <c r="UEL1311" s="35"/>
      <c r="UEM1311" s="35"/>
      <c r="UOH1311" s="35"/>
      <c r="UOI1311" s="35"/>
      <c r="UYD1311" s="35"/>
      <c r="UYE1311" s="35"/>
      <c r="VHZ1311" s="35"/>
      <c r="VIA1311" s="35"/>
      <c r="VRV1311" s="35"/>
      <c r="VRW1311" s="35"/>
      <c r="WBR1311" s="35"/>
      <c r="WBS1311" s="35"/>
      <c r="WLN1311" s="35"/>
      <c r="WLO1311" s="35"/>
      <c r="WVJ1311" s="35"/>
      <c r="WVK1311" s="35"/>
    </row>
    <row r="1312" spans="1:771 1026:1795 2050:2819 3074:3843 4098:4867 5122:5891 6146:6915 7170:7939 8194:8963 9218:9987 10242:11011 11266:12035 12290:13059 13314:14083 14338:15107 15362:16131" s="35" customFormat="1" ht="55.2" x14ac:dyDescent="0.3">
      <c r="A1312" s="28">
        <v>123</v>
      </c>
      <c r="B1312" s="29" t="s">
        <v>1030</v>
      </c>
      <c r="C1312" s="30" t="s">
        <v>1032</v>
      </c>
      <c r="D1312" s="31" t="s">
        <v>13</v>
      </c>
      <c r="E1312" s="32">
        <v>10.8</v>
      </c>
      <c r="F1312" s="33"/>
      <c r="G1312" s="33"/>
      <c r="H1312" s="34" t="s">
        <v>1033</v>
      </c>
    </row>
    <row r="1313" spans="1:771 1026:1795 2050:2819 3074:3843 4098:4867 5122:5891 6146:6915 7170:7939 8194:8963 9218:9987 10242:11011 11266:12035 12290:13059 13314:14083 14338:15107 15362:16131" s="35" customFormat="1" x14ac:dyDescent="0.3">
      <c r="A1313" s="36"/>
      <c r="B1313" s="72" t="s">
        <v>1031</v>
      </c>
      <c r="C1313" s="38" t="s">
        <v>14</v>
      </c>
      <c r="D1313" s="39"/>
      <c r="E1313" s="44"/>
      <c r="F1313" s="40"/>
      <c r="G1313" s="41">
        <f>SUM(G1314)</f>
        <v>210373200</v>
      </c>
      <c r="H1313" s="42"/>
    </row>
    <row r="1314" spans="1:771 1026:1795 2050:2819 3074:3843 4098:4867 5122:5891 6146:6915 7170:7939 8194:8963 9218:9987 10242:11011 11266:12035 12290:13059 13314:14083 14338:15107 15362:16131" s="35" customFormat="1" ht="55.8" x14ac:dyDescent="0.3">
      <c r="A1314" s="36"/>
      <c r="B1314" s="168" t="s">
        <v>1034</v>
      </c>
      <c r="C1314" s="48" t="s">
        <v>38</v>
      </c>
      <c r="D1314" s="39" t="s">
        <v>13</v>
      </c>
      <c r="E1314" s="73">
        <v>10.8</v>
      </c>
      <c r="F1314" s="161">
        <v>19479000</v>
      </c>
      <c r="G1314" s="40">
        <f>E1314*F1314</f>
        <v>210373200</v>
      </c>
      <c r="H1314" s="42"/>
    </row>
    <row r="1315" spans="1:771 1026:1795 2050:2819 3074:3843 4098:4867 5122:5891 6146:6915 7170:7939 8194:8963 9218:9987 10242:11011 11266:12035 12290:13059 13314:14083 14338:15107 15362:16131" s="35" customFormat="1" x14ac:dyDescent="0.3">
      <c r="A1315" s="36"/>
      <c r="B1315" s="50"/>
      <c r="C1315" s="47" t="s">
        <v>35</v>
      </c>
      <c r="D1315" s="39"/>
      <c r="E1315" s="73"/>
      <c r="F1315" s="40"/>
      <c r="G1315" s="41">
        <f>SUM(G1316)</f>
        <v>15230080</v>
      </c>
      <c r="H1315" s="45"/>
    </row>
    <row r="1316" spans="1:771 1026:1795 2050:2819 3074:3843 4098:4867 5122:5891 6146:6915 7170:7939 8194:8963 9218:9987 10242:11011 11266:12035 12290:13059 13314:14083 14338:15107 15362:16131" s="77" customFormat="1" ht="93.6" x14ac:dyDescent="0.3">
      <c r="A1316" s="36"/>
      <c r="B1316" s="75"/>
      <c r="C1316" s="66" t="s">
        <v>1035</v>
      </c>
      <c r="D1316" s="39" t="s">
        <v>13</v>
      </c>
      <c r="E1316" s="73">
        <f>2*5.3</f>
        <v>10.6</v>
      </c>
      <c r="F1316" s="74">
        <f>3592000*40%</f>
        <v>1436800</v>
      </c>
      <c r="G1316" s="40">
        <f>E1316*F1316</f>
        <v>15230080</v>
      </c>
      <c r="H1316" s="45" t="s">
        <v>2475</v>
      </c>
    </row>
    <row r="1317" spans="1:771 1026:1795 2050:2819 3074:3843 4098:4867 5122:5891 6146:6915 7170:7939 8194:8963 9218:9987 10242:11011 11266:12035 12290:13059 13314:14083 14338:15107 15362:16131" s="35" customFormat="1" ht="65.400000000000006" thickBot="1" x14ac:dyDescent="0.35">
      <c r="A1317" s="53"/>
      <c r="B1317" s="54"/>
      <c r="C1317" s="55" t="s">
        <v>2331</v>
      </c>
      <c r="D1317" s="56"/>
      <c r="E1317" s="5"/>
      <c r="F1317" s="6"/>
      <c r="G1317" s="57"/>
      <c r="H1317" s="58"/>
    </row>
    <row r="1318" spans="1:771 1026:1795 2050:2819 3074:3843 4098:4867 5122:5891 6146:6915 7170:7939 8194:8963 9218:9987 10242:11011 11266:12035 12290:13059 13314:14083 14338:15107 15362:16131" s="59" customFormat="1" ht="31.8" thickBot="1" x14ac:dyDescent="0.35">
      <c r="A1318" s="154"/>
      <c r="B1318" s="155" t="s">
        <v>26</v>
      </c>
      <c r="C1318" s="156"/>
      <c r="D1318" s="154"/>
      <c r="E1318" s="157"/>
      <c r="F1318" s="158"/>
      <c r="G1318" s="159">
        <f>SUM(G1312:G1317)/2</f>
        <v>225603280</v>
      </c>
      <c r="H1318" s="160"/>
      <c r="IX1318" s="35"/>
      <c r="IY1318" s="35"/>
      <c r="ST1318" s="35"/>
      <c r="SU1318" s="35"/>
      <c r="ACP1318" s="35"/>
      <c r="ACQ1318" s="35"/>
      <c r="AML1318" s="35"/>
      <c r="AMM1318" s="35"/>
      <c r="AWH1318" s="35"/>
      <c r="AWI1318" s="35"/>
      <c r="BGD1318" s="35"/>
      <c r="BGE1318" s="35"/>
      <c r="BPZ1318" s="35"/>
      <c r="BQA1318" s="35"/>
      <c r="BZV1318" s="35"/>
      <c r="BZW1318" s="35"/>
      <c r="CJR1318" s="35"/>
      <c r="CJS1318" s="35"/>
      <c r="CTN1318" s="35"/>
      <c r="CTO1318" s="35"/>
      <c r="DDJ1318" s="35"/>
      <c r="DDK1318" s="35"/>
      <c r="DNF1318" s="35"/>
      <c r="DNG1318" s="35"/>
      <c r="DXB1318" s="35"/>
      <c r="DXC1318" s="35"/>
      <c r="EGX1318" s="35"/>
      <c r="EGY1318" s="35"/>
      <c r="EQT1318" s="35"/>
      <c r="EQU1318" s="35"/>
      <c r="FAP1318" s="35"/>
      <c r="FAQ1318" s="35"/>
      <c r="FKL1318" s="35"/>
      <c r="FKM1318" s="35"/>
      <c r="FUH1318" s="35"/>
      <c r="FUI1318" s="35"/>
      <c r="GED1318" s="35"/>
      <c r="GEE1318" s="35"/>
      <c r="GNZ1318" s="35"/>
      <c r="GOA1318" s="35"/>
      <c r="GXV1318" s="35"/>
      <c r="GXW1318" s="35"/>
      <c r="HHR1318" s="35"/>
      <c r="HHS1318" s="35"/>
      <c r="HRN1318" s="35"/>
      <c r="HRO1318" s="35"/>
      <c r="IBJ1318" s="35"/>
      <c r="IBK1318" s="35"/>
      <c r="ILF1318" s="35"/>
      <c r="ILG1318" s="35"/>
      <c r="IVB1318" s="35"/>
      <c r="IVC1318" s="35"/>
      <c r="JEX1318" s="35"/>
      <c r="JEY1318" s="35"/>
      <c r="JOT1318" s="35"/>
      <c r="JOU1318" s="35"/>
      <c r="JYP1318" s="35"/>
      <c r="JYQ1318" s="35"/>
      <c r="KIL1318" s="35"/>
      <c r="KIM1318" s="35"/>
      <c r="KSH1318" s="35"/>
      <c r="KSI1318" s="35"/>
      <c r="LCD1318" s="35"/>
      <c r="LCE1318" s="35"/>
      <c r="LLZ1318" s="35"/>
      <c r="LMA1318" s="35"/>
      <c r="LVV1318" s="35"/>
      <c r="LVW1318" s="35"/>
      <c r="MFR1318" s="35"/>
      <c r="MFS1318" s="35"/>
      <c r="MPN1318" s="35"/>
      <c r="MPO1318" s="35"/>
      <c r="MZJ1318" s="35"/>
      <c r="MZK1318" s="35"/>
      <c r="NJF1318" s="35"/>
      <c r="NJG1318" s="35"/>
      <c r="NTB1318" s="35"/>
      <c r="NTC1318" s="35"/>
      <c r="OCX1318" s="35"/>
      <c r="OCY1318" s="35"/>
      <c r="OMT1318" s="35"/>
      <c r="OMU1318" s="35"/>
      <c r="OWP1318" s="35"/>
      <c r="OWQ1318" s="35"/>
      <c r="PGL1318" s="35"/>
      <c r="PGM1318" s="35"/>
      <c r="PQH1318" s="35"/>
      <c r="PQI1318" s="35"/>
      <c r="QAD1318" s="35"/>
      <c r="QAE1318" s="35"/>
      <c r="QJZ1318" s="35"/>
      <c r="QKA1318" s="35"/>
      <c r="QTV1318" s="35"/>
      <c r="QTW1318" s="35"/>
      <c r="RDR1318" s="35"/>
      <c r="RDS1318" s="35"/>
      <c r="RNN1318" s="35"/>
      <c r="RNO1318" s="35"/>
      <c r="RXJ1318" s="35"/>
      <c r="RXK1318" s="35"/>
      <c r="SHF1318" s="35"/>
      <c r="SHG1318" s="35"/>
      <c r="SRB1318" s="35"/>
      <c r="SRC1318" s="35"/>
      <c r="TAX1318" s="35"/>
      <c r="TAY1318" s="35"/>
      <c r="TKT1318" s="35"/>
      <c r="TKU1318" s="35"/>
      <c r="TUP1318" s="35"/>
      <c r="TUQ1318" s="35"/>
      <c r="UEL1318" s="35"/>
      <c r="UEM1318" s="35"/>
      <c r="UOH1318" s="35"/>
      <c r="UOI1318" s="35"/>
      <c r="UYD1318" s="35"/>
      <c r="UYE1318" s="35"/>
      <c r="VHZ1318" s="35"/>
      <c r="VIA1318" s="35"/>
      <c r="VRV1318" s="35"/>
      <c r="VRW1318" s="35"/>
      <c r="WBR1318" s="35"/>
      <c r="WBS1318" s="35"/>
      <c r="WLN1318" s="35"/>
      <c r="WLO1318" s="35"/>
      <c r="WVJ1318" s="35"/>
      <c r="WVK1318" s="35"/>
    </row>
    <row r="1319" spans="1:771 1026:1795 2050:2819 3074:3843 4098:4867 5122:5891 6146:6915 7170:7939 8194:8963 9218:9987 10242:11011 11266:12035 12290:13059 13314:14083 14338:15107 15362:16131" s="35" customFormat="1" ht="41.4" x14ac:dyDescent="0.3">
      <c r="A1319" s="28">
        <v>124</v>
      </c>
      <c r="B1319" s="29" t="s">
        <v>1036</v>
      </c>
      <c r="C1319" s="30" t="s">
        <v>1039</v>
      </c>
      <c r="D1319" s="31" t="s">
        <v>13</v>
      </c>
      <c r="E1319" s="32">
        <v>8.9</v>
      </c>
      <c r="F1319" s="33"/>
      <c r="G1319" s="33"/>
      <c r="H1319" s="34" t="s">
        <v>1040</v>
      </c>
    </row>
    <row r="1320" spans="1:771 1026:1795 2050:2819 3074:3843 4098:4867 5122:5891 6146:6915 7170:7939 8194:8963 9218:9987 10242:11011 11266:12035 12290:13059 13314:14083 14338:15107 15362:16131" s="35" customFormat="1" x14ac:dyDescent="0.3">
      <c r="A1320" s="36"/>
      <c r="B1320" s="72" t="s">
        <v>1037</v>
      </c>
      <c r="C1320" s="38" t="s">
        <v>14</v>
      </c>
      <c r="D1320" s="39"/>
      <c r="E1320" s="44"/>
      <c r="F1320" s="40"/>
      <c r="G1320" s="41">
        <f>SUM(G1321)</f>
        <v>92595600</v>
      </c>
      <c r="H1320" s="42"/>
    </row>
    <row r="1321" spans="1:771 1026:1795 2050:2819 3074:3843 4098:4867 5122:5891 6146:6915 7170:7939 8194:8963 9218:9987 10242:11011 11266:12035 12290:13059 13314:14083 14338:15107 15362:16131" s="35" customFormat="1" ht="55.2" x14ac:dyDescent="0.25">
      <c r="A1321" s="36"/>
      <c r="B1321" s="168" t="s">
        <v>1038</v>
      </c>
      <c r="C1321" s="43" t="s">
        <v>55</v>
      </c>
      <c r="D1321" s="39" t="s">
        <v>13</v>
      </c>
      <c r="E1321" s="73">
        <v>8.9</v>
      </c>
      <c r="F1321" s="153">
        <v>10404000</v>
      </c>
      <c r="G1321" s="40">
        <f>E1321*F1321</f>
        <v>92595600</v>
      </c>
      <c r="H1321" s="42"/>
    </row>
    <row r="1322" spans="1:771 1026:1795 2050:2819 3074:3843 4098:4867 5122:5891 6146:6915 7170:7939 8194:8963 9218:9987 10242:11011 11266:12035 12290:13059 13314:14083 14338:15107 15362:16131" s="35" customFormat="1" x14ac:dyDescent="0.3">
      <c r="A1322" s="36"/>
      <c r="B1322" s="50"/>
      <c r="C1322" s="47" t="s">
        <v>35</v>
      </c>
      <c r="D1322" s="39"/>
      <c r="E1322" s="73"/>
      <c r="F1322" s="40"/>
      <c r="G1322" s="41">
        <f>SUM(G1323:G1328)</f>
        <v>6842560</v>
      </c>
      <c r="H1322" s="45"/>
    </row>
    <row r="1323" spans="1:771 1026:1795 2050:2819 3074:3843 4098:4867 5122:5891 6146:6915 7170:7939 8194:8963 9218:9987 10242:11011 11266:12035 12290:13059 13314:14083 14338:15107 15362:16131" s="77" customFormat="1" ht="46.8" x14ac:dyDescent="0.3">
      <c r="A1323" s="36"/>
      <c r="B1323" s="75"/>
      <c r="C1323" s="66" t="s">
        <v>1041</v>
      </c>
      <c r="D1323" s="39" t="s">
        <v>13</v>
      </c>
      <c r="E1323" s="73">
        <f>2*4.2</f>
        <v>8.4</v>
      </c>
      <c r="F1323" s="74">
        <v>540000</v>
      </c>
      <c r="G1323" s="40">
        <f t="shared" ref="G1323:G1328" si="19">E1323*F1323</f>
        <v>4536000</v>
      </c>
      <c r="H1323" s="45" t="s">
        <v>2476</v>
      </c>
    </row>
    <row r="1324" spans="1:771 1026:1795 2050:2819 3074:3843 4098:4867 5122:5891 6146:6915 7170:7939 8194:8963 9218:9987 10242:11011 11266:12035 12290:13059 13314:14083 14338:15107 15362:16131" s="77" customFormat="1" ht="27.6" x14ac:dyDescent="0.3">
      <c r="A1324" s="36"/>
      <c r="B1324" s="75"/>
      <c r="C1324" s="66" t="s">
        <v>1042</v>
      </c>
      <c r="D1324" s="39" t="s">
        <v>13</v>
      </c>
      <c r="E1324" s="73">
        <f>1.6*2</f>
        <v>3.2</v>
      </c>
      <c r="F1324" s="40">
        <v>361000</v>
      </c>
      <c r="G1324" s="40">
        <f t="shared" si="19"/>
        <v>1155200</v>
      </c>
      <c r="H1324" s="45" t="s">
        <v>1043</v>
      </c>
    </row>
    <row r="1325" spans="1:771 1026:1795 2050:2819 3074:3843 4098:4867 5122:5891 6146:6915 7170:7939 8194:8963 9218:9987 10242:11011 11266:12035 12290:13059 13314:14083 14338:15107 15362:16131" s="77" customFormat="1" ht="18.600000000000001" x14ac:dyDescent="0.3">
      <c r="A1325" s="36"/>
      <c r="B1325" s="75"/>
      <c r="C1325" s="66" t="s">
        <v>1044</v>
      </c>
      <c r="D1325" s="39" t="s">
        <v>128</v>
      </c>
      <c r="E1325" s="73">
        <f>0.8*2*0.1</f>
        <v>0.16000000000000003</v>
      </c>
      <c r="F1325" s="40">
        <v>1421000</v>
      </c>
      <c r="G1325" s="40">
        <f t="shared" si="19"/>
        <v>227360.00000000006</v>
      </c>
      <c r="H1325" s="45"/>
    </row>
    <row r="1326" spans="1:771 1026:1795 2050:2819 3074:3843 4098:4867 5122:5891 6146:6915 7170:7939 8194:8963 9218:9987 10242:11011 11266:12035 12290:13059 13314:14083 14338:15107 15362:16131" s="77" customFormat="1" ht="18.600000000000001" x14ac:dyDescent="0.3">
      <c r="A1326" s="36"/>
      <c r="B1326" s="75"/>
      <c r="C1326" s="66" t="s">
        <v>115</v>
      </c>
      <c r="D1326" s="39" t="s">
        <v>13</v>
      </c>
      <c r="E1326" s="73">
        <f>4.2*2.2</f>
        <v>9.240000000000002</v>
      </c>
      <c r="F1326" s="40">
        <v>100000</v>
      </c>
      <c r="G1326" s="40">
        <f t="shared" si="19"/>
        <v>924000.00000000023</v>
      </c>
      <c r="H1326" s="45"/>
    </row>
    <row r="1327" spans="1:771 1026:1795 2050:2819 3074:3843 4098:4867 5122:5891 6146:6915 7170:7939 8194:8963 9218:9987 10242:11011 11266:12035 12290:13059 13314:14083 14338:15107 15362:16131" s="77" customFormat="1" x14ac:dyDescent="0.3">
      <c r="A1327" s="36"/>
      <c r="B1327" s="75"/>
      <c r="C1327" s="66" t="s">
        <v>105</v>
      </c>
      <c r="D1327" s="39" t="s">
        <v>106</v>
      </c>
      <c r="E1327" s="73">
        <v>1</v>
      </c>
      <c r="F1327" s="74"/>
      <c r="G1327" s="40">
        <f t="shared" si="19"/>
        <v>0</v>
      </c>
      <c r="H1327" s="52" t="s">
        <v>2353</v>
      </c>
    </row>
    <row r="1328" spans="1:771 1026:1795 2050:2819 3074:3843 4098:4867 5122:5891 6146:6915 7170:7939 8194:8963 9218:9987 10242:11011 11266:12035 12290:13059 13314:14083 14338:15107 15362:16131" s="77" customFormat="1" x14ac:dyDescent="0.3">
      <c r="A1328" s="36"/>
      <c r="B1328" s="75"/>
      <c r="C1328" s="66" t="s">
        <v>1045</v>
      </c>
      <c r="D1328" s="39" t="s">
        <v>19</v>
      </c>
      <c r="E1328" s="73">
        <v>6</v>
      </c>
      <c r="F1328" s="74"/>
      <c r="G1328" s="40">
        <f t="shared" si="19"/>
        <v>0</v>
      </c>
      <c r="H1328" s="45"/>
    </row>
    <row r="1329" spans="1:771 1026:1795 2050:2819 3074:3843 4098:4867 5122:5891 6146:6915 7170:7939 8194:8963 9218:9987 10242:11011 11266:12035 12290:13059 13314:14083 14338:15107 15362:16131" s="35" customFormat="1" x14ac:dyDescent="0.3">
      <c r="A1329" s="36"/>
      <c r="B1329" s="46"/>
      <c r="C1329" s="51" t="s">
        <v>20</v>
      </c>
      <c r="D1329" s="39"/>
      <c r="E1329" s="44"/>
      <c r="F1329" s="40"/>
      <c r="G1329" s="41">
        <f>SUM(G1330)</f>
        <v>80000</v>
      </c>
      <c r="H1329" s="52"/>
    </row>
    <row r="1330" spans="1:771 1026:1795 2050:2819 3074:3843 4098:4867 5122:5891 6146:6915 7170:7939 8194:8963 9218:9987 10242:11011 11266:12035 12290:13059 13314:14083 14338:15107 15362:16131" s="77" customFormat="1" x14ac:dyDescent="0.3">
      <c r="A1330" s="36"/>
      <c r="B1330" s="37"/>
      <c r="C1330" s="75" t="s">
        <v>779</v>
      </c>
      <c r="D1330" s="76" t="s">
        <v>22</v>
      </c>
      <c r="E1330" s="73">
        <v>2</v>
      </c>
      <c r="F1330" s="74">
        <v>40000</v>
      </c>
      <c r="G1330" s="40">
        <f>E1330*F1330</f>
        <v>80000</v>
      </c>
      <c r="H1330" s="52"/>
    </row>
    <row r="1331" spans="1:771 1026:1795 2050:2819 3074:3843 4098:4867 5122:5891 6146:6915 7170:7939 8194:8963 9218:9987 10242:11011 11266:12035 12290:13059 13314:14083 14338:15107 15362:16131" s="35" customFormat="1" x14ac:dyDescent="0.3">
      <c r="A1331" s="36"/>
      <c r="B1331" s="46"/>
      <c r="C1331" s="51" t="s">
        <v>23</v>
      </c>
      <c r="D1331" s="39"/>
      <c r="E1331" s="1"/>
      <c r="F1331" s="2"/>
      <c r="G1331" s="41">
        <f>SUM(G1332)</f>
        <v>6120000</v>
      </c>
      <c r="H1331" s="52"/>
    </row>
    <row r="1332" spans="1:771 1026:1795 2050:2819 3074:3843 4098:4867 5122:5891 6146:6915 7170:7939 8194:8963 9218:9987 10242:11011 11266:12035 12290:13059 13314:14083 14338:15107 15362:16131" s="35" customFormat="1" x14ac:dyDescent="0.3">
      <c r="A1332" s="36"/>
      <c r="B1332" s="46"/>
      <c r="C1332" s="50" t="s">
        <v>24</v>
      </c>
      <c r="D1332" s="39" t="s">
        <v>25</v>
      </c>
      <c r="E1332" s="1">
        <f>2*30*6</f>
        <v>360</v>
      </c>
      <c r="F1332" s="2">
        <v>17000</v>
      </c>
      <c r="G1332" s="40">
        <f>E1332*F1332</f>
        <v>6120000</v>
      </c>
      <c r="H1332" s="42"/>
    </row>
    <row r="1333" spans="1:771 1026:1795 2050:2819 3074:3843 4098:4867 5122:5891 6146:6915 7170:7939 8194:8963 9218:9987 10242:11011 11266:12035 12290:13059 13314:14083 14338:15107 15362:16131" s="35" customFormat="1" ht="65.400000000000006" thickBot="1" x14ac:dyDescent="0.35">
      <c r="A1333" s="53"/>
      <c r="B1333" s="54"/>
      <c r="C1333" s="55" t="s">
        <v>2331</v>
      </c>
      <c r="D1333" s="56"/>
      <c r="E1333" s="5"/>
      <c r="F1333" s="6"/>
      <c r="G1333" s="57"/>
      <c r="H1333" s="58"/>
    </row>
    <row r="1334" spans="1:771 1026:1795 2050:2819 3074:3843 4098:4867 5122:5891 6146:6915 7170:7939 8194:8963 9218:9987 10242:11011 11266:12035 12290:13059 13314:14083 14338:15107 15362:16131" s="59" customFormat="1" ht="31.8" thickBot="1" x14ac:dyDescent="0.35">
      <c r="A1334" s="154"/>
      <c r="B1334" s="155" t="s">
        <v>26</v>
      </c>
      <c r="C1334" s="156"/>
      <c r="D1334" s="154"/>
      <c r="E1334" s="157"/>
      <c r="F1334" s="158"/>
      <c r="G1334" s="159">
        <f>SUM(G1319:G1333)/2</f>
        <v>105638160</v>
      </c>
      <c r="H1334" s="160"/>
      <c r="IX1334" s="35"/>
      <c r="IY1334" s="35"/>
      <c r="ST1334" s="35"/>
      <c r="SU1334" s="35"/>
      <c r="ACP1334" s="35"/>
      <c r="ACQ1334" s="35"/>
      <c r="AML1334" s="35"/>
      <c r="AMM1334" s="35"/>
      <c r="AWH1334" s="35"/>
      <c r="AWI1334" s="35"/>
      <c r="BGD1334" s="35"/>
      <c r="BGE1334" s="35"/>
      <c r="BPZ1334" s="35"/>
      <c r="BQA1334" s="35"/>
      <c r="BZV1334" s="35"/>
      <c r="BZW1334" s="35"/>
      <c r="CJR1334" s="35"/>
      <c r="CJS1334" s="35"/>
      <c r="CTN1334" s="35"/>
      <c r="CTO1334" s="35"/>
      <c r="DDJ1334" s="35"/>
      <c r="DDK1334" s="35"/>
      <c r="DNF1334" s="35"/>
      <c r="DNG1334" s="35"/>
      <c r="DXB1334" s="35"/>
      <c r="DXC1334" s="35"/>
      <c r="EGX1334" s="35"/>
      <c r="EGY1334" s="35"/>
      <c r="EQT1334" s="35"/>
      <c r="EQU1334" s="35"/>
      <c r="FAP1334" s="35"/>
      <c r="FAQ1334" s="35"/>
      <c r="FKL1334" s="35"/>
      <c r="FKM1334" s="35"/>
      <c r="FUH1334" s="35"/>
      <c r="FUI1334" s="35"/>
      <c r="GED1334" s="35"/>
      <c r="GEE1334" s="35"/>
      <c r="GNZ1334" s="35"/>
      <c r="GOA1334" s="35"/>
      <c r="GXV1334" s="35"/>
      <c r="GXW1334" s="35"/>
      <c r="HHR1334" s="35"/>
      <c r="HHS1334" s="35"/>
      <c r="HRN1334" s="35"/>
      <c r="HRO1334" s="35"/>
      <c r="IBJ1334" s="35"/>
      <c r="IBK1334" s="35"/>
      <c r="ILF1334" s="35"/>
      <c r="ILG1334" s="35"/>
      <c r="IVB1334" s="35"/>
      <c r="IVC1334" s="35"/>
      <c r="JEX1334" s="35"/>
      <c r="JEY1334" s="35"/>
      <c r="JOT1334" s="35"/>
      <c r="JOU1334" s="35"/>
      <c r="JYP1334" s="35"/>
      <c r="JYQ1334" s="35"/>
      <c r="KIL1334" s="35"/>
      <c r="KIM1334" s="35"/>
      <c r="KSH1334" s="35"/>
      <c r="KSI1334" s="35"/>
      <c r="LCD1334" s="35"/>
      <c r="LCE1334" s="35"/>
      <c r="LLZ1334" s="35"/>
      <c r="LMA1334" s="35"/>
      <c r="LVV1334" s="35"/>
      <c r="LVW1334" s="35"/>
      <c r="MFR1334" s="35"/>
      <c r="MFS1334" s="35"/>
      <c r="MPN1334" s="35"/>
      <c r="MPO1334" s="35"/>
      <c r="MZJ1334" s="35"/>
      <c r="MZK1334" s="35"/>
      <c r="NJF1334" s="35"/>
      <c r="NJG1334" s="35"/>
      <c r="NTB1334" s="35"/>
      <c r="NTC1334" s="35"/>
      <c r="OCX1334" s="35"/>
      <c r="OCY1334" s="35"/>
      <c r="OMT1334" s="35"/>
      <c r="OMU1334" s="35"/>
      <c r="OWP1334" s="35"/>
      <c r="OWQ1334" s="35"/>
      <c r="PGL1334" s="35"/>
      <c r="PGM1334" s="35"/>
      <c r="PQH1334" s="35"/>
      <c r="PQI1334" s="35"/>
      <c r="QAD1334" s="35"/>
      <c r="QAE1334" s="35"/>
      <c r="QJZ1334" s="35"/>
      <c r="QKA1334" s="35"/>
      <c r="QTV1334" s="35"/>
      <c r="QTW1334" s="35"/>
      <c r="RDR1334" s="35"/>
      <c r="RDS1334" s="35"/>
      <c r="RNN1334" s="35"/>
      <c r="RNO1334" s="35"/>
      <c r="RXJ1334" s="35"/>
      <c r="RXK1334" s="35"/>
      <c r="SHF1334" s="35"/>
      <c r="SHG1334" s="35"/>
      <c r="SRB1334" s="35"/>
      <c r="SRC1334" s="35"/>
      <c r="TAX1334" s="35"/>
      <c r="TAY1334" s="35"/>
      <c r="TKT1334" s="35"/>
      <c r="TKU1334" s="35"/>
      <c r="TUP1334" s="35"/>
      <c r="TUQ1334" s="35"/>
      <c r="UEL1334" s="35"/>
      <c r="UEM1334" s="35"/>
      <c r="UOH1334" s="35"/>
      <c r="UOI1334" s="35"/>
      <c r="UYD1334" s="35"/>
      <c r="UYE1334" s="35"/>
      <c r="VHZ1334" s="35"/>
      <c r="VIA1334" s="35"/>
      <c r="VRV1334" s="35"/>
      <c r="VRW1334" s="35"/>
      <c r="WBR1334" s="35"/>
      <c r="WBS1334" s="35"/>
      <c r="WLN1334" s="35"/>
      <c r="WLO1334" s="35"/>
      <c r="WVJ1334" s="35"/>
      <c r="WVK1334" s="35"/>
    </row>
    <row r="1335" spans="1:771 1026:1795 2050:2819 3074:3843 4098:4867 5122:5891 6146:6915 7170:7939 8194:8963 9218:9987 10242:11011 11266:12035 12290:13059 13314:14083 14338:15107 15362:16131" s="35" customFormat="1" ht="46.8" x14ac:dyDescent="0.3">
      <c r="A1335" s="28">
        <v>125</v>
      </c>
      <c r="B1335" s="29" t="s">
        <v>1046</v>
      </c>
      <c r="C1335" s="30" t="s">
        <v>2256</v>
      </c>
      <c r="D1335" s="31" t="s">
        <v>13</v>
      </c>
      <c r="E1335" s="32">
        <v>10.9</v>
      </c>
      <c r="F1335" s="33"/>
      <c r="G1335" s="33"/>
      <c r="H1335" s="34" t="s">
        <v>64</v>
      </c>
    </row>
    <row r="1336" spans="1:771 1026:1795 2050:2819 3074:3843 4098:4867 5122:5891 6146:6915 7170:7939 8194:8963 9218:9987 10242:11011 11266:12035 12290:13059 13314:14083 14338:15107 15362:16131" s="35" customFormat="1" x14ac:dyDescent="0.3">
      <c r="A1336" s="36"/>
      <c r="B1336" s="72" t="s">
        <v>1048</v>
      </c>
      <c r="C1336" s="38" t="s">
        <v>14</v>
      </c>
      <c r="D1336" s="39"/>
      <c r="E1336" s="44"/>
      <c r="F1336" s="40"/>
      <c r="G1336" s="41">
        <f>SUM(G1337)</f>
        <v>212321100</v>
      </c>
      <c r="H1336" s="42"/>
    </row>
    <row r="1337" spans="1:771 1026:1795 2050:2819 3074:3843 4098:4867 5122:5891 6146:6915 7170:7939 8194:8963 9218:9987 10242:11011 11266:12035 12290:13059 13314:14083 14338:15107 15362:16131" s="35" customFormat="1" ht="55.8" x14ac:dyDescent="0.3">
      <c r="A1337" s="36"/>
      <c r="B1337" s="168" t="s">
        <v>1047</v>
      </c>
      <c r="C1337" s="48" t="s">
        <v>38</v>
      </c>
      <c r="D1337" s="39" t="s">
        <v>13</v>
      </c>
      <c r="E1337" s="73">
        <v>10.9</v>
      </c>
      <c r="F1337" s="161">
        <v>19479000</v>
      </c>
      <c r="G1337" s="40">
        <f>E1337*F1337</f>
        <v>212321100</v>
      </c>
      <c r="H1337" s="42"/>
    </row>
    <row r="1338" spans="1:771 1026:1795 2050:2819 3074:3843 4098:4867 5122:5891 6146:6915 7170:7939 8194:8963 9218:9987 10242:11011 11266:12035 12290:13059 13314:14083 14338:15107 15362:16131" s="35" customFormat="1" x14ac:dyDescent="0.3">
      <c r="A1338" s="36"/>
      <c r="B1338" s="72" t="s">
        <v>1049</v>
      </c>
      <c r="C1338" s="47" t="s">
        <v>35</v>
      </c>
      <c r="D1338" s="39"/>
      <c r="E1338" s="73"/>
      <c r="F1338" s="40"/>
      <c r="G1338" s="41">
        <f>SUM(G1339)</f>
        <v>6103349.9999999991</v>
      </c>
      <c r="H1338" s="45"/>
    </row>
    <row r="1339" spans="1:771 1026:1795 2050:2819 3074:3843 4098:4867 5122:5891 6146:6915 7170:7939 8194:8963 9218:9987 10242:11011 11266:12035 12290:13059 13314:14083 14338:15107 15362:16131" s="77" customFormat="1" ht="46.8" x14ac:dyDescent="0.3">
      <c r="A1339" s="36"/>
      <c r="B1339" s="75"/>
      <c r="C1339" s="66" t="s">
        <v>1050</v>
      </c>
      <c r="D1339" s="39" t="s">
        <v>13</v>
      </c>
      <c r="E1339" s="73">
        <f>((2.05+2.06)*5.5)/2</f>
        <v>11.302499999999998</v>
      </c>
      <c r="F1339" s="74">
        <v>540000</v>
      </c>
      <c r="G1339" s="40">
        <f>E1339*F1339</f>
        <v>6103349.9999999991</v>
      </c>
      <c r="H1339" s="45" t="s">
        <v>2477</v>
      </c>
    </row>
    <row r="1340" spans="1:771 1026:1795 2050:2819 3074:3843 4098:4867 5122:5891 6146:6915 7170:7939 8194:8963 9218:9987 10242:11011 11266:12035 12290:13059 13314:14083 14338:15107 15362:16131" s="35" customFormat="1" x14ac:dyDescent="0.3">
      <c r="A1340" s="36"/>
      <c r="B1340" s="46"/>
      <c r="C1340" s="51" t="s">
        <v>20</v>
      </c>
      <c r="D1340" s="39"/>
      <c r="E1340" s="44"/>
      <c r="F1340" s="40"/>
      <c r="G1340" s="41">
        <f>SUM(G1341:G1342)</f>
        <v>78000</v>
      </c>
      <c r="H1340" s="52"/>
    </row>
    <row r="1341" spans="1:771 1026:1795 2050:2819 3074:3843 4098:4867 5122:5891 6146:6915 7170:7939 8194:8963 9218:9987 10242:11011 11266:12035 12290:13059 13314:14083 14338:15107 15362:16131" s="77" customFormat="1" ht="18.600000000000001" x14ac:dyDescent="0.3">
      <c r="A1341" s="36"/>
      <c r="B1341" s="37"/>
      <c r="C1341" s="75" t="s">
        <v>1051</v>
      </c>
      <c r="D1341" s="39" t="s">
        <v>13</v>
      </c>
      <c r="E1341" s="44">
        <v>2.6</v>
      </c>
      <c r="F1341" s="74">
        <v>30000</v>
      </c>
      <c r="G1341" s="40">
        <f>E1341*F1341</f>
        <v>78000</v>
      </c>
      <c r="H1341" s="52"/>
    </row>
    <row r="1342" spans="1:771 1026:1795 2050:2819 3074:3843 4098:4867 5122:5891 6146:6915 7170:7939 8194:8963 9218:9987 10242:11011 11266:12035 12290:13059 13314:14083 14338:15107 15362:16131" s="35" customFormat="1" ht="65.400000000000006" thickBot="1" x14ac:dyDescent="0.35">
      <c r="A1342" s="53"/>
      <c r="B1342" s="54"/>
      <c r="C1342" s="55" t="s">
        <v>2331</v>
      </c>
      <c r="D1342" s="56"/>
      <c r="E1342" s="5"/>
      <c r="F1342" s="6"/>
      <c r="G1342" s="57"/>
      <c r="H1342" s="58"/>
    </row>
    <row r="1343" spans="1:771 1026:1795 2050:2819 3074:3843 4098:4867 5122:5891 6146:6915 7170:7939 8194:8963 9218:9987 10242:11011 11266:12035 12290:13059 13314:14083 14338:15107 15362:16131" s="59" customFormat="1" ht="31.8" thickBot="1" x14ac:dyDescent="0.35">
      <c r="A1343" s="154"/>
      <c r="B1343" s="155" t="s">
        <v>26</v>
      </c>
      <c r="C1343" s="156"/>
      <c r="D1343" s="154"/>
      <c r="E1343" s="157"/>
      <c r="F1343" s="158"/>
      <c r="G1343" s="159">
        <f>SUM(G1335:G1342)/2</f>
        <v>218502450</v>
      </c>
      <c r="H1343" s="160"/>
      <c r="IX1343" s="35"/>
      <c r="IY1343" s="35"/>
      <c r="ST1343" s="35"/>
      <c r="SU1343" s="35"/>
      <c r="ACP1343" s="35"/>
      <c r="ACQ1343" s="35"/>
      <c r="AML1343" s="35"/>
      <c r="AMM1343" s="35"/>
      <c r="AWH1343" s="35"/>
      <c r="AWI1343" s="35"/>
      <c r="BGD1343" s="35"/>
      <c r="BGE1343" s="35"/>
      <c r="BPZ1343" s="35"/>
      <c r="BQA1343" s="35"/>
      <c r="BZV1343" s="35"/>
      <c r="BZW1343" s="35"/>
      <c r="CJR1343" s="35"/>
      <c r="CJS1343" s="35"/>
      <c r="CTN1343" s="35"/>
      <c r="CTO1343" s="35"/>
      <c r="DDJ1343" s="35"/>
      <c r="DDK1343" s="35"/>
      <c r="DNF1343" s="35"/>
      <c r="DNG1343" s="35"/>
      <c r="DXB1343" s="35"/>
      <c r="DXC1343" s="35"/>
      <c r="EGX1343" s="35"/>
      <c r="EGY1343" s="35"/>
      <c r="EQT1343" s="35"/>
      <c r="EQU1343" s="35"/>
      <c r="FAP1343" s="35"/>
      <c r="FAQ1343" s="35"/>
      <c r="FKL1343" s="35"/>
      <c r="FKM1343" s="35"/>
      <c r="FUH1343" s="35"/>
      <c r="FUI1343" s="35"/>
      <c r="GED1343" s="35"/>
      <c r="GEE1343" s="35"/>
      <c r="GNZ1343" s="35"/>
      <c r="GOA1343" s="35"/>
      <c r="GXV1343" s="35"/>
      <c r="GXW1343" s="35"/>
      <c r="HHR1343" s="35"/>
      <c r="HHS1343" s="35"/>
      <c r="HRN1343" s="35"/>
      <c r="HRO1343" s="35"/>
      <c r="IBJ1343" s="35"/>
      <c r="IBK1343" s="35"/>
      <c r="ILF1343" s="35"/>
      <c r="ILG1343" s="35"/>
      <c r="IVB1343" s="35"/>
      <c r="IVC1343" s="35"/>
      <c r="JEX1343" s="35"/>
      <c r="JEY1343" s="35"/>
      <c r="JOT1343" s="35"/>
      <c r="JOU1343" s="35"/>
      <c r="JYP1343" s="35"/>
      <c r="JYQ1343" s="35"/>
      <c r="KIL1343" s="35"/>
      <c r="KIM1343" s="35"/>
      <c r="KSH1343" s="35"/>
      <c r="KSI1343" s="35"/>
      <c r="LCD1343" s="35"/>
      <c r="LCE1343" s="35"/>
      <c r="LLZ1343" s="35"/>
      <c r="LMA1343" s="35"/>
      <c r="LVV1343" s="35"/>
      <c r="LVW1343" s="35"/>
      <c r="MFR1343" s="35"/>
      <c r="MFS1343" s="35"/>
      <c r="MPN1343" s="35"/>
      <c r="MPO1343" s="35"/>
      <c r="MZJ1343" s="35"/>
      <c r="MZK1343" s="35"/>
      <c r="NJF1343" s="35"/>
      <c r="NJG1343" s="35"/>
      <c r="NTB1343" s="35"/>
      <c r="NTC1343" s="35"/>
      <c r="OCX1343" s="35"/>
      <c r="OCY1343" s="35"/>
      <c r="OMT1343" s="35"/>
      <c r="OMU1343" s="35"/>
      <c r="OWP1343" s="35"/>
      <c r="OWQ1343" s="35"/>
      <c r="PGL1343" s="35"/>
      <c r="PGM1343" s="35"/>
      <c r="PQH1343" s="35"/>
      <c r="PQI1343" s="35"/>
      <c r="QAD1343" s="35"/>
      <c r="QAE1343" s="35"/>
      <c r="QJZ1343" s="35"/>
      <c r="QKA1343" s="35"/>
      <c r="QTV1343" s="35"/>
      <c r="QTW1343" s="35"/>
      <c r="RDR1343" s="35"/>
      <c r="RDS1343" s="35"/>
      <c r="RNN1343" s="35"/>
      <c r="RNO1343" s="35"/>
      <c r="RXJ1343" s="35"/>
      <c r="RXK1343" s="35"/>
      <c r="SHF1343" s="35"/>
      <c r="SHG1343" s="35"/>
      <c r="SRB1343" s="35"/>
      <c r="SRC1343" s="35"/>
      <c r="TAX1343" s="35"/>
      <c r="TAY1343" s="35"/>
      <c r="TKT1343" s="35"/>
      <c r="TKU1343" s="35"/>
      <c r="TUP1343" s="35"/>
      <c r="TUQ1343" s="35"/>
      <c r="UEL1343" s="35"/>
      <c r="UEM1343" s="35"/>
      <c r="UOH1343" s="35"/>
      <c r="UOI1343" s="35"/>
      <c r="UYD1343" s="35"/>
      <c r="UYE1343" s="35"/>
      <c r="VHZ1343" s="35"/>
      <c r="VIA1343" s="35"/>
      <c r="VRV1343" s="35"/>
      <c r="VRW1343" s="35"/>
      <c r="WBR1343" s="35"/>
      <c r="WBS1343" s="35"/>
      <c r="WLN1343" s="35"/>
      <c r="WLO1343" s="35"/>
      <c r="WVJ1343" s="35"/>
      <c r="WVK1343" s="35"/>
    </row>
    <row r="1344" spans="1:771 1026:1795 2050:2819 3074:3843 4098:4867 5122:5891 6146:6915 7170:7939 8194:8963 9218:9987 10242:11011 11266:12035 12290:13059 13314:14083 14338:15107 15362:16131" s="35" customFormat="1" ht="55.2" x14ac:dyDescent="0.3">
      <c r="A1344" s="28">
        <v>126</v>
      </c>
      <c r="B1344" s="29" t="s">
        <v>1053</v>
      </c>
      <c r="C1344" s="30" t="s">
        <v>1057</v>
      </c>
      <c r="D1344" s="31" t="s">
        <v>13</v>
      </c>
      <c r="E1344" s="32">
        <v>7.5</v>
      </c>
      <c r="F1344" s="33"/>
      <c r="G1344" s="33"/>
      <c r="H1344" s="34" t="s">
        <v>1058</v>
      </c>
    </row>
    <row r="1345" spans="1:771 1026:1795 2050:2819 3074:3843 4098:4867 5122:5891 6146:6915 7170:7939 8194:8963 9218:9987 10242:11011 11266:12035 12290:13059 13314:14083 14338:15107 15362:16131" s="35" customFormat="1" x14ac:dyDescent="0.3">
      <c r="A1345" s="36"/>
      <c r="B1345" s="72" t="s">
        <v>1054</v>
      </c>
      <c r="C1345" s="38" t="s">
        <v>14</v>
      </c>
      <c r="D1345" s="39"/>
      <c r="E1345" s="44"/>
      <c r="F1345" s="40"/>
      <c r="G1345" s="41">
        <f>SUM(G1346)</f>
        <v>78030000</v>
      </c>
      <c r="H1345" s="42"/>
    </row>
    <row r="1346" spans="1:771 1026:1795 2050:2819 3074:3843 4098:4867 5122:5891 6146:6915 7170:7939 8194:8963 9218:9987 10242:11011 11266:12035 12290:13059 13314:14083 14338:15107 15362:16131" s="35" customFormat="1" ht="78" x14ac:dyDescent="0.3">
      <c r="A1346" s="36"/>
      <c r="B1346" s="72" t="s">
        <v>1055</v>
      </c>
      <c r="C1346" s="43" t="s">
        <v>55</v>
      </c>
      <c r="D1346" s="39" t="s">
        <v>13</v>
      </c>
      <c r="E1346" s="73">
        <v>7.5</v>
      </c>
      <c r="F1346" s="153">
        <v>10404000</v>
      </c>
      <c r="G1346" s="40">
        <f>E1346*F1346</f>
        <v>78030000</v>
      </c>
      <c r="H1346" s="42"/>
    </row>
    <row r="1347" spans="1:771 1026:1795 2050:2819 3074:3843 4098:4867 5122:5891 6146:6915 7170:7939 8194:8963 9218:9987 10242:11011 11266:12035 12290:13059 13314:14083 14338:15107 15362:16131" s="35" customFormat="1" x14ac:dyDescent="0.3">
      <c r="A1347" s="36"/>
      <c r="B1347" s="72" t="s">
        <v>1056</v>
      </c>
      <c r="C1347" s="47" t="s">
        <v>35</v>
      </c>
      <c r="D1347" s="39"/>
      <c r="E1347" s="73"/>
      <c r="F1347" s="40"/>
      <c r="G1347" s="41">
        <f>SUM(G1348:G1350)</f>
        <v>23335759.999999996</v>
      </c>
      <c r="H1347" s="45"/>
    </row>
    <row r="1348" spans="1:771 1026:1795 2050:2819 3074:3843 4098:4867 5122:5891 6146:6915 7170:7939 8194:8963 9218:9987 10242:11011 11266:12035 12290:13059 13314:14083 14338:15107 15362:16131" s="77" customFormat="1" ht="55.2" x14ac:dyDescent="0.3">
      <c r="A1348" s="36"/>
      <c r="B1348" s="75"/>
      <c r="C1348" s="66" t="s">
        <v>1059</v>
      </c>
      <c r="D1348" s="39" t="s">
        <v>13</v>
      </c>
      <c r="E1348" s="73">
        <v>7.74</v>
      </c>
      <c r="F1348" s="74"/>
      <c r="G1348" s="40">
        <f>E1348*F1348</f>
        <v>0</v>
      </c>
      <c r="H1348" s="45" t="s">
        <v>2478</v>
      </c>
    </row>
    <row r="1349" spans="1:771 1026:1795 2050:2819 3074:3843 4098:4867 5122:5891 6146:6915 7170:7939 8194:8963 9218:9987 10242:11011 11266:12035 12290:13059 13314:14083 14338:15107 15362:16131" s="77" customFormat="1" ht="18.600000000000001" x14ac:dyDescent="0.3">
      <c r="A1349" s="36"/>
      <c r="B1349" s="75"/>
      <c r="C1349" s="66" t="s">
        <v>1060</v>
      </c>
      <c r="D1349" s="39" t="s">
        <v>13</v>
      </c>
      <c r="E1349" s="73">
        <f>5.3*3.8</f>
        <v>20.139999999999997</v>
      </c>
      <c r="F1349" s="74">
        <v>980000</v>
      </c>
      <c r="G1349" s="40">
        <f>E1349*F1349</f>
        <v>19737199.999999996</v>
      </c>
      <c r="H1349" s="45"/>
    </row>
    <row r="1350" spans="1:771 1026:1795 2050:2819 3074:3843 4098:4867 5122:5891 6146:6915 7170:7939 8194:8963 9218:9987 10242:11011 11266:12035 12290:13059 13314:14083 14338:15107 15362:16131" s="77" customFormat="1" ht="31.2" x14ac:dyDescent="0.3">
      <c r="A1350" s="36"/>
      <c r="B1350" s="75"/>
      <c r="C1350" s="66" t="s">
        <v>1061</v>
      </c>
      <c r="D1350" s="39" t="s">
        <v>13</v>
      </c>
      <c r="E1350" s="73">
        <f>2.04*1.8</f>
        <v>3.6720000000000002</v>
      </c>
      <c r="F1350" s="74">
        <v>980000</v>
      </c>
      <c r="G1350" s="40">
        <f>E1350*F1350</f>
        <v>3598560</v>
      </c>
      <c r="H1350" s="45" t="s">
        <v>1062</v>
      </c>
    </row>
    <row r="1351" spans="1:771 1026:1795 2050:2819 3074:3843 4098:4867 5122:5891 6146:6915 7170:7939 8194:8963 9218:9987 10242:11011 11266:12035 12290:13059 13314:14083 14338:15107 15362:16131" s="35" customFormat="1" x14ac:dyDescent="0.3">
      <c r="A1351" s="36"/>
      <c r="B1351" s="46"/>
      <c r="C1351" s="51" t="s">
        <v>23</v>
      </c>
      <c r="D1351" s="39"/>
      <c r="E1351" s="1"/>
      <c r="F1351" s="2"/>
      <c r="G1351" s="41">
        <f>SUM(G1352:G1353)</f>
        <v>3060000</v>
      </c>
      <c r="H1351" s="52"/>
    </row>
    <row r="1352" spans="1:771 1026:1795 2050:2819 3074:3843 4098:4867 5122:5891 6146:6915 7170:7939 8194:8963 9218:9987 10242:11011 11266:12035 12290:13059 13314:14083 14338:15107 15362:16131" s="35" customFormat="1" x14ac:dyDescent="0.3">
      <c r="A1352" s="36"/>
      <c r="B1352" s="46"/>
      <c r="C1352" s="50" t="s">
        <v>24</v>
      </c>
      <c r="D1352" s="39" t="s">
        <v>25</v>
      </c>
      <c r="E1352" s="1">
        <f>1*30*6</f>
        <v>180</v>
      </c>
      <c r="F1352" s="2">
        <v>17000</v>
      </c>
      <c r="G1352" s="40">
        <f>E1352*F1352</f>
        <v>3060000</v>
      </c>
      <c r="H1352" s="42"/>
    </row>
    <row r="1353" spans="1:771 1026:1795 2050:2819 3074:3843 4098:4867 5122:5891 6146:6915 7170:7939 8194:8963 9218:9987 10242:11011 11266:12035 12290:13059 13314:14083 14338:15107 15362:16131" s="35" customFormat="1" ht="65.400000000000006" thickBot="1" x14ac:dyDescent="0.35">
      <c r="A1353" s="53"/>
      <c r="B1353" s="54"/>
      <c r="C1353" s="55" t="s">
        <v>2331</v>
      </c>
      <c r="D1353" s="56"/>
      <c r="E1353" s="5"/>
      <c r="F1353" s="6"/>
      <c r="G1353" s="57"/>
      <c r="H1353" s="58"/>
    </row>
    <row r="1354" spans="1:771 1026:1795 2050:2819 3074:3843 4098:4867 5122:5891 6146:6915 7170:7939 8194:8963 9218:9987 10242:11011 11266:12035 12290:13059 13314:14083 14338:15107 15362:16131" s="59" customFormat="1" ht="31.8" thickBot="1" x14ac:dyDescent="0.35">
      <c r="A1354" s="154"/>
      <c r="B1354" s="155" t="s">
        <v>26</v>
      </c>
      <c r="C1354" s="156"/>
      <c r="D1354" s="154"/>
      <c r="E1354" s="157"/>
      <c r="F1354" s="158"/>
      <c r="G1354" s="159">
        <f>SUM(G1344:G1353)/2</f>
        <v>104425760</v>
      </c>
      <c r="H1354" s="160"/>
      <c r="IX1354" s="35"/>
      <c r="IY1354" s="35"/>
      <c r="ST1354" s="35"/>
      <c r="SU1354" s="35"/>
      <c r="ACP1354" s="35"/>
      <c r="ACQ1354" s="35"/>
      <c r="AML1354" s="35"/>
      <c r="AMM1354" s="35"/>
      <c r="AWH1354" s="35"/>
      <c r="AWI1354" s="35"/>
      <c r="BGD1354" s="35"/>
      <c r="BGE1354" s="35"/>
      <c r="BPZ1354" s="35"/>
      <c r="BQA1354" s="35"/>
      <c r="BZV1354" s="35"/>
      <c r="BZW1354" s="35"/>
      <c r="CJR1354" s="35"/>
      <c r="CJS1354" s="35"/>
      <c r="CTN1354" s="35"/>
      <c r="CTO1354" s="35"/>
      <c r="DDJ1354" s="35"/>
      <c r="DDK1354" s="35"/>
      <c r="DNF1354" s="35"/>
      <c r="DNG1354" s="35"/>
      <c r="DXB1354" s="35"/>
      <c r="DXC1354" s="35"/>
      <c r="EGX1354" s="35"/>
      <c r="EGY1354" s="35"/>
      <c r="EQT1354" s="35"/>
      <c r="EQU1354" s="35"/>
      <c r="FAP1354" s="35"/>
      <c r="FAQ1354" s="35"/>
      <c r="FKL1354" s="35"/>
      <c r="FKM1354" s="35"/>
      <c r="FUH1354" s="35"/>
      <c r="FUI1354" s="35"/>
      <c r="GED1354" s="35"/>
      <c r="GEE1354" s="35"/>
      <c r="GNZ1354" s="35"/>
      <c r="GOA1354" s="35"/>
      <c r="GXV1354" s="35"/>
      <c r="GXW1354" s="35"/>
      <c r="HHR1354" s="35"/>
      <c r="HHS1354" s="35"/>
      <c r="HRN1354" s="35"/>
      <c r="HRO1354" s="35"/>
      <c r="IBJ1354" s="35"/>
      <c r="IBK1354" s="35"/>
      <c r="ILF1354" s="35"/>
      <c r="ILG1354" s="35"/>
      <c r="IVB1354" s="35"/>
      <c r="IVC1354" s="35"/>
      <c r="JEX1354" s="35"/>
      <c r="JEY1354" s="35"/>
      <c r="JOT1354" s="35"/>
      <c r="JOU1354" s="35"/>
      <c r="JYP1354" s="35"/>
      <c r="JYQ1354" s="35"/>
      <c r="KIL1354" s="35"/>
      <c r="KIM1354" s="35"/>
      <c r="KSH1354" s="35"/>
      <c r="KSI1354" s="35"/>
      <c r="LCD1354" s="35"/>
      <c r="LCE1354" s="35"/>
      <c r="LLZ1354" s="35"/>
      <c r="LMA1354" s="35"/>
      <c r="LVV1354" s="35"/>
      <c r="LVW1354" s="35"/>
      <c r="MFR1354" s="35"/>
      <c r="MFS1354" s="35"/>
      <c r="MPN1354" s="35"/>
      <c r="MPO1354" s="35"/>
      <c r="MZJ1354" s="35"/>
      <c r="MZK1354" s="35"/>
      <c r="NJF1354" s="35"/>
      <c r="NJG1354" s="35"/>
      <c r="NTB1354" s="35"/>
      <c r="NTC1354" s="35"/>
      <c r="OCX1354" s="35"/>
      <c r="OCY1354" s="35"/>
      <c r="OMT1354" s="35"/>
      <c r="OMU1354" s="35"/>
      <c r="OWP1354" s="35"/>
      <c r="OWQ1354" s="35"/>
      <c r="PGL1354" s="35"/>
      <c r="PGM1354" s="35"/>
      <c r="PQH1354" s="35"/>
      <c r="PQI1354" s="35"/>
      <c r="QAD1354" s="35"/>
      <c r="QAE1354" s="35"/>
      <c r="QJZ1354" s="35"/>
      <c r="QKA1354" s="35"/>
      <c r="QTV1354" s="35"/>
      <c r="QTW1354" s="35"/>
      <c r="RDR1354" s="35"/>
      <c r="RDS1354" s="35"/>
      <c r="RNN1354" s="35"/>
      <c r="RNO1354" s="35"/>
      <c r="RXJ1354" s="35"/>
      <c r="RXK1354" s="35"/>
      <c r="SHF1354" s="35"/>
      <c r="SHG1354" s="35"/>
      <c r="SRB1354" s="35"/>
      <c r="SRC1354" s="35"/>
      <c r="TAX1354" s="35"/>
      <c r="TAY1354" s="35"/>
      <c r="TKT1354" s="35"/>
      <c r="TKU1354" s="35"/>
      <c r="TUP1354" s="35"/>
      <c r="TUQ1354" s="35"/>
      <c r="UEL1354" s="35"/>
      <c r="UEM1354" s="35"/>
      <c r="UOH1354" s="35"/>
      <c r="UOI1354" s="35"/>
      <c r="UYD1354" s="35"/>
      <c r="UYE1354" s="35"/>
      <c r="VHZ1354" s="35"/>
      <c r="VIA1354" s="35"/>
      <c r="VRV1354" s="35"/>
      <c r="VRW1354" s="35"/>
      <c r="WBR1354" s="35"/>
      <c r="WBS1354" s="35"/>
      <c r="WLN1354" s="35"/>
      <c r="WLO1354" s="35"/>
      <c r="WVJ1354" s="35"/>
      <c r="WVK1354" s="35"/>
    </row>
    <row r="1355" spans="1:771 1026:1795 2050:2819 3074:3843 4098:4867 5122:5891 6146:6915 7170:7939 8194:8963 9218:9987 10242:11011 11266:12035 12290:13059 13314:14083 14338:15107 15362:16131" s="35" customFormat="1" ht="41.4" x14ac:dyDescent="0.3">
      <c r="A1355" s="28">
        <v>127</v>
      </c>
      <c r="B1355" s="29" t="s">
        <v>1063</v>
      </c>
      <c r="C1355" s="30" t="s">
        <v>1067</v>
      </c>
      <c r="D1355" s="31" t="s">
        <v>13</v>
      </c>
      <c r="E1355" s="32">
        <v>8</v>
      </c>
      <c r="F1355" s="33"/>
      <c r="G1355" s="33"/>
      <c r="H1355" s="34" t="s">
        <v>1066</v>
      </c>
    </row>
    <row r="1356" spans="1:771 1026:1795 2050:2819 3074:3843 4098:4867 5122:5891 6146:6915 7170:7939 8194:8963 9218:9987 10242:11011 11266:12035 12290:13059 13314:14083 14338:15107 15362:16131" s="35" customFormat="1" x14ac:dyDescent="0.3">
      <c r="A1356" s="36"/>
      <c r="B1356" s="72" t="s">
        <v>1064</v>
      </c>
      <c r="C1356" s="38" t="s">
        <v>14</v>
      </c>
      <c r="D1356" s="39"/>
      <c r="E1356" s="44"/>
      <c r="F1356" s="40"/>
      <c r="G1356" s="41">
        <f>SUM(G1357)</f>
        <v>155832000</v>
      </c>
      <c r="H1356" s="42"/>
    </row>
    <row r="1357" spans="1:771 1026:1795 2050:2819 3074:3843 4098:4867 5122:5891 6146:6915 7170:7939 8194:8963 9218:9987 10242:11011 11266:12035 12290:13059 13314:14083 14338:15107 15362:16131" s="35" customFormat="1" ht="78" x14ac:dyDescent="0.3">
      <c r="A1357" s="36"/>
      <c r="B1357" s="72" t="s">
        <v>1065</v>
      </c>
      <c r="C1357" s="48" t="s">
        <v>38</v>
      </c>
      <c r="D1357" s="39" t="s">
        <v>13</v>
      </c>
      <c r="E1357" s="73">
        <v>8</v>
      </c>
      <c r="F1357" s="161">
        <v>19479000</v>
      </c>
      <c r="G1357" s="40">
        <f>E1357*F1357</f>
        <v>155832000</v>
      </c>
      <c r="H1357" s="42"/>
    </row>
    <row r="1358" spans="1:771 1026:1795 2050:2819 3074:3843 4098:4867 5122:5891 6146:6915 7170:7939 8194:8963 9218:9987 10242:11011 11266:12035 12290:13059 13314:14083 14338:15107 15362:16131" s="35" customFormat="1" x14ac:dyDescent="0.3">
      <c r="A1358" s="36"/>
      <c r="B1358" s="50"/>
      <c r="C1358" s="47" t="s">
        <v>35</v>
      </c>
      <c r="D1358" s="39"/>
      <c r="E1358" s="73"/>
      <c r="F1358" s="40"/>
      <c r="G1358" s="41">
        <f>SUM(G1359:G1363)</f>
        <v>9648080</v>
      </c>
      <c r="H1358" s="45"/>
    </row>
    <row r="1359" spans="1:771 1026:1795 2050:2819 3074:3843 4098:4867 5122:5891 6146:6915 7170:7939 8194:8963 9218:9987 10242:11011 11266:12035 12290:13059 13314:14083 14338:15107 15362:16131" s="77" customFormat="1" ht="41.4" x14ac:dyDescent="0.3">
      <c r="A1359" s="36"/>
      <c r="B1359" s="75"/>
      <c r="C1359" s="66" t="s">
        <v>2118</v>
      </c>
      <c r="D1359" s="39" t="s">
        <v>13</v>
      </c>
      <c r="E1359" s="73">
        <f>2*7.6</f>
        <v>15.2</v>
      </c>
      <c r="F1359" s="74">
        <v>540000</v>
      </c>
      <c r="G1359" s="40">
        <f>E1359*F1359</f>
        <v>8208000</v>
      </c>
      <c r="H1359" s="45" t="s">
        <v>2479</v>
      </c>
    </row>
    <row r="1360" spans="1:771 1026:1795 2050:2819 3074:3843 4098:4867 5122:5891 6146:6915 7170:7939 8194:8963 9218:9987 10242:11011 11266:12035 12290:13059 13314:14083 14338:15107 15362:16131" s="77" customFormat="1" ht="31.2" x14ac:dyDescent="0.3">
      <c r="A1360" s="36"/>
      <c r="B1360" s="75"/>
      <c r="C1360" s="66" t="s">
        <v>1068</v>
      </c>
      <c r="D1360" s="39" t="s">
        <v>13</v>
      </c>
      <c r="E1360" s="73">
        <f>2*1.6</f>
        <v>3.2</v>
      </c>
      <c r="F1360" s="40">
        <v>361000</v>
      </c>
      <c r="G1360" s="40">
        <f>E1360*F1360</f>
        <v>1155200</v>
      </c>
      <c r="H1360" s="45"/>
    </row>
    <row r="1361" spans="1:771 1026:1795 2050:2819 3074:3843 4098:4867 5122:5891 6146:6915 7170:7939 8194:8963 9218:9987 10242:11011 11266:12035 12290:13059 13314:14083 14338:15107 15362:16131" s="77" customFormat="1" ht="27.6" x14ac:dyDescent="0.3">
      <c r="A1361" s="36"/>
      <c r="B1361" s="75"/>
      <c r="C1361" s="66" t="s">
        <v>189</v>
      </c>
      <c r="D1361" s="39" t="s">
        <v>128</v>
      </c>
      <c r="E1361" s="73">
        <f>2*0.4*0.1</f>
        <v>8.0000000000000016E-2</v>
      </c>
      <c r="F1361" s="40">
        <v>1421000</v>
      </c>
      <c r="G1361" s="40">
        <f>E1361*F1361</f>
        <v>113680.00000000003</v>
      </c>
      <c r="H1361" s="45" t="s">
        <v>1069</v>
      </c>
    </row>
    <row r="1362" spans="1:771 1026:1795 2050:2819 3074:3843 4098:4867 5122:5891 6146:6915 7170:7939 8194:8963 9218:9987 10242:11011 11266:12035 12290:13059 13314:14083 14338:15107 15362:16131" s="77" customFormat="1" ht="18.600000000000001" x14ac:dyDescent="0.3">
      <c r="A1362" s="36"/>
      <c r="B1362" s="75"/>
      <c r="C1362" s="66" t="s">
        <v>190</v>
      </c>
      <c r="D1362" s="39" t="s">
        <v>13</v>
      </c>
      <c r="E1362" s="73">
        <f>2*0.4*2</f>
        <v>1.6</v>
      </c>
      <c r="F1362" s="74">
        <v>107000</v>
      </c>
      <c r="G1362" s="40">
        <f>E1362*F1362</f>
        <v>171200</v>
      </c>
      <c r="H1362" s="45"/>
    </row>
    <row r="1363" spans="1:771 1026:1795 2050:2819 3074:3843 4098:4867 5122:5891 6146:6915 7170:7939 8194:8963 9218:9987 10242:11011 11266:12035 12290:13059 13314:14083 14338:15107 15362:16131" s="35" customFormat="1" ht="65.400000000000006" thickBot="1" x14ac:dyDescent="0.35">
      <c r="A1363" s="53"/>
      <c r="B1363" s="54"/>
      <c r="C1363" s="55" t="s">
        <v>2331</v>
      </c>
      <c r="D1363" s="56"/>
      <c r="E1363" s="5"/>
      <c r="F1363" s="6"/>
      <c r="G1363" s="57"/>
      <c r="H1363" s="58"/>
    </row>
    <row r="1364" spans="1:771 1026:1795 2050:2819 3074:3843 4098:4867 5122:5891 6146:6915 7170:7939 8194:8963 9218:9987 10242:11011 11266:12035 12290:13059 13314:14083 14338:15107 15362:16131" s="59" customFormat="1" ht="31.8" thickBot="1" x14ac:dyDescent="0.35">
      <c r="A1364" s="154"/>
      <c r="B1364" s="155" t="s">
        <v>26</v>
      </c>
      <c r="C1364" s="156"/>
      <c r="D1364" s="154"/>
      <c r="E1364" s="157"/>
      <c r="F1364" s="158"/>
      <c r="G1364" s="159">
        <f>SUM(G1355:G1363)/2</f>
        <v>165480080</v>
      </c>
      <c r="H1364" s="160"/>
      <c r="IX1364" s="35"/>
      <c r="IY1364" s="35"/>
      <c r="ST1364" s="35"/>
      <c r="SU1364" s="35"/>
      <c r="ACP1364" s="35"/>
      <c r="ACQ1364" s="35"/>
      <c r="AML1364" s="35"/>
      <c r="AMM1364" s="35"/>
      <c r="AWH1364" s="35"/>
      <c r="AWI1364" s="35"/>
      <c r="BGD1364" s="35"/>
      <c r="BGE1364" s="35"/>
      <c r="BPZ1364" s="35"/>
      <c r="BQA1364" s="35"/>
      <c r="BZV1364" s="35"/>
      <c r="BZW1364" s="35"/>
      <c r="CJR1364" s="35"/>
      <c r="CJS1364" s="35"/>
      <c r="CTN1364" s="35"/>
      <c r="CTO1364" s="35"/>
      <c r="DDJ1364" s="35"/>
      <c r="DDK1364" s="35"/>
      <c r="DNF1364" s="35"/>
      <c r="DNG1364" s="35"/>
      <c r="DXB1364" s="35"/>
      <c r="DXC1364" s="35"/>
      <c r="EGX1364" s="35"/>
      <c r="EGY1364" s="35"/>
      <c r="EQT1364" s="35"/>
      <c r="EQU1364" s="35"/>
      <c r="FAP1364" s="35"/>
      <c r="FAQ1364" s="35"/>
      <c r="FKL1364" s="35"/>
      <c r="FKM1364" s="35"/>
      <c r="FUH1364" s="35"/>
      <c r="FUI1364" s="35"/>
      <c r="GED1364" s="35"/>
      <c r="GEE1364" s="35"/>
      <c r="GNZ1364" s="35"/>
      <c r="GOA1364" s="35"/>
      <c r="GXV1364" s="35"/>
      <c r="GXW1364" s="35"/>
      <c r="HHR1364" s="35"/>
      <c r="HHS1364" s="35"/>
      <c r="HRN1364" s="35"/>
      <c r="HRO1364" s="35"/>
      <c r="IBJ1364" s="35"/>
      <c r="IBK1364" s="35"/>
      <c r="ILF1364" s="35"/>
      <c r="ILG1364" s="35"/>
      <c r="IVB1364" s="35"/>
      <c r="IVC1364" s="35"/>
      <c r="JEX1364" s="35"/>
      <c r="JEY1364" s="35"/>
      <c r="JOT1364" s="35"/>
      <c r="JOU1364" s="35"/>
      <c r="JYP1364" s="35"/>
      <c r="JYQ1364" s="35"/>
      <c r="KIL1364" s="35"/>
      <c r="KIM1364" s="35"/>
      <c r="KSH1364" s="35"/>
      <c r="KSI1364" s="35"/>
      <c r="LCD1364" s="35"/>
      <c r="LCE1364" s="35"/>
      <c r="LLZ1364" s="35"/>
      <c r="LMA1364" s="35"/>
      <c r="LVV1364" s="35"/>
      <c r="LVW1364" s="35"/>
      <c r="MFR1364" s="35"/>
      <c r="MFS1364" s="35"/>
      <c r="MPN1364" s="35"/>
      <c r="MPO1364" s="35"/>
      <c r="MZJ1364" s="35"/>
      <c r="MZK1364" s="35"/>
      <c r="NJF1364" s="35"/>
      <c r="NJG1364" s="35"/>
      <c r="NTB1364" s="35"/>
      <c r="NTC1364" s="35"/>
      <c r="OCX1364" s="35"/>
      <c r="OCY1364" s="35"/>
      <c r="OMT1364" s="35"/>
      <c r="OMU1364" s="35"/>
      <c r="OWP1364" s="35"/>
      <c r="OWQ1364" s="35"/>
      <c r="PGL1364" s="35"/>
      <c r="PGM1364" s="35"/>
      <c r="PQH1364" s="35"/>
      <c r="PQI1364" s="35"/>
      <c r="QAD1364" s="35"/>
      <c r="QAE1364" s="35"/>
      <c r="QJZ1364" s="35"/>
      <c r="QKA1364" s="35"/>
      <c r="QTV1364" s="35"/>
      <c r="QTW1364" s="35"/>
      <c r="RDR1364" s="35"/>
      <c r="RDS1364" s="35"/>
      <c r="RNN1364" s="35"/>
      <c r="RNO1364" s="35"/>
      <c r="RXJ1364" s="35"/>
      <c r="RXK1364" s="35"/>
      <c r="SHF1364" s="35"/>
      <c r="SHG1364" s="35"/>
      <c r="SRB1364" s="35"/>
      <c r="SRC1364" s="35"/>
      <c r="TAX1364" s="35"/>
      <c r="TAY1364" s="35"/>
      <c r="TKT1364" s="35"/>
      <c r="TKU1364" s="35"/>
      <c r="TUP1364" s="35"/>
      <c r="TUQ1364" s="35"/>
      <c r="UEL1364" s="35"/>
      <c r="UEM1364" s="35"/>
      <c r="UOH1364" s="35"/>
      <c r="UOI1364" s="35"/>
      <c r="UYD1364" s="35"/>
      <c r="UYE1364" s="35"/>
      <c r="VHZ1364" s="35"/>
      <c r="VIA1364" s="35"/>
      <c r="VRV1364" s="35"/>
      <c r="VRW1364" s="35"/>
      <c r="WBR1364" s="35"/>
      <c r="WBS1364" s="35"/>
      <c r="WLN1364" s="35"/>
      <c r="WLO1364" s="35"/>
      <c r="WVJ1364" s="35"/>
      <c r="WVK1364" s="35"/>
    </row>
    <row r="1365" spans="1:771 1026:1795 2050:2819 3074:3843 4098:4867 5122:5891 6146:6915 7170:7939 8194:8963 9218:9987 10242:11011 11266:12035 12290:13059 13314:14083 14338:15107 15362:16131" s="35" customFormat="1" ht="55.2" x14ac:dyDescent="0.3">
      <c r="A1365" s="28">
        <v>128</v>
      </c>
      <c r="B1365" s="29" t="s">
        <v>1070</v>
      </c>
      <c r="C1365" s="30" t="s">
        <v>2225</v>
      </c>
      <c r="D1365" s="31" t="s">
        <v>13</v>
      </c>
      <c r="E1365" s="32">
        <v>10</v>
      </c>
      <c r="F1365" s="33"/>
      <c r="G1365" s="33"/>
      <c r="H1365" s="34" t="s">
        <v>2226</v>
      </c>
    </row>
    <row r="1366" spans="1:771 1026:1795 2050:2819 3074:3843 4098:4867 5122:5891 6146:6915 7170:7939 8194:8963 9218:9987 10242:11011 11266:12035 12290:13059 13314:14083 14338:15107 15362:16131" s="35" customFormat="1" x14ac:dyDescent="0.3">
      <c r="A1366" s="36"/>
      <c r="B1366" s="72" t="s">
        <v>1071</v>
      </c>
      <c r="C1366" s="38" t="s">
        <v>14</v>
      </c>
      <c r="D1366" s="39"/>
      <c r="E1366" s="44"/>
      <c r="F1366" s="40"/>
      <c r="G1366" s="41">
        <f>SUM(G1367)</f>
        <v>194790000</v>
      </c>
      <c r="H1366" s="42"/>
    </row>
    <row r="1367" spans="1:771 1026:1795 2050:2819 3074:3843 4098:4867 5122:5891 6146:6915 7170:7939 8194:8963 9218:9987 10242:11011 11266:12035 12290:13059 13314:14083 14338:15107 15362:16131" s="35" customFormat="1" ht="78" x14ac:dyDescent="0.3">
      <c r="A1367" s="36"/>
      <c r="B1367" s="72" t="s">
        <v>1072</v>
      </c>
      <c r="C1367" s="48" t="s">
        <v>38</v>
      </c>
      <c r="D1367" s="39" t="s">
        <v>13</v>
      </c>
      <c r="E1367" s="73">
        <v>10</v>
      </c>
      <c r="F1367" s="161">
        <v>19479000</v>
      </c>
      <c r="G1367" s="40">
        <f>E1367*F1367</f>
        <v>194790000</v>
      </c>
      <c r="H1367" s="42"/>
    </row>
    <row r="1368" spans="1:771 1026:1795 2050:2819 3074:3843 4098:4867 5122:5891 6146:6915 7170:7939 8194:8963 9218:9987 10242:11011 11266:12035 12290:13059 13314:14083 14338:15107 15362:16131" s="35" customFormat="1" x14ac:dyDescent="0.3">
      <c r="A1368" s="36"/>
      <c r="B1368" s="50"/>
      <c r="C1368" s="47" t="s">
        <v>35</v>
      </c>
      <c r="D1368" s="39"/>
      <c r="E1368" s="73"/>
      <c r="F1368" s="40"/>
      <c r="G1368" s="41">
        <f>SUM(G1369:G1370)</f>
        <v>2160000</v>
      </c>
      <c r="H1368" s="45"/>
    </row>
    <row r="1369" spans="1:771 1026:1795 2050:2819 3074:3843 4098:4867 5122:5891 6146:6915 7170:7939 8194:8963 9218:9987 10242:11011 11266:12035 12290:13059 13314:14083 14338:15107 15362:16131" s="77" customFormat="1" ht="46.8" x14ac:dyDescent="0.3">
      <c r="A1369" s="36"/>
      <c r="B1369" s="75"/>
      <c r="C1369" s="66" t="s">
        <v>1073</v>
      </c>
      <c r="D1369" s="39" t="s">
        <v>13</v>
      </c>
      <c r="E1369" s="73">
        <f>2*5</f>
        <v>10</v>
      </c>
      <c r="F1369" s="74">
        <f>540000*40%</f>
        <v>216000</v>
      </c>
      <c r="G1369" s="40">
        <f>E1369*F1369</f>
        <v>2160000</v>
      </c>
      <c r="H1369" s="45" t="s">
        <v>2480</v>
      </c>
    </row>
    <row r="1370" spans="1:771 1026:1795 2050:2819 3074:3843 4098:4867 5122:5891 6146:6915 7170:7939 8194:8963 9218:9987 10242:11011 11266:12035 12290:13059 13314:14083 14338:15107 15362:16131" s="77" customFormat="1" x14ac:dyDescent="0.3">
      <c r="A1370" s="36"/>
      <c r="B1370" s="75"/>
      <c r="C1370" s="66" t="s">
        <v>105</v>
      </c>
      <c r="D1370" s="39" t="s">
        <v>106</v>
      </c>
      <c r="E1370" s="73">
        <v>1</v>
      </c>
      <c r="F1370" s="74"/>
      <c r="G1370" s="40">
        <f>E1370*F1370</f>
        <v>0</v>
      </c>
      <c r="H1370" s="52" t="s">
        <v>2353</v>
      </c>
    </row>
    <row r="1371" spans="1:771 1026:1795 2050:2819 3074:3843 4098:4867 5122:5891 6146:6915 7170:7939 8194:8963 9218:9987 10242:11011 11266:12035 12290:13059 13314:14083 14338:15107 15362:16131" s="35" customFormat="1" x14ac:dyDescent="0.3">
      <c r="A1371" s="36"/>
      <c r="B1371" s="46"/>
      <c r="C1371" s="51" t="s">
        <v>20</v>
      </c>
      <c r="D1371" s="39"/>
      <c r="E1371" s="44"/>
      <c r="F1371" s="40"/>
      <c r="G1371" s="41">
        <f>SUM(G1372)</f>
        <v>80000</v>
      </c>
      <c r="H1371" s="52"/>
    </row>
    <row r="1372" spans="1:771 1026:1795 2050:2819 3074:3843 4098:4867 5122:5891 6146:6915 7170:7939 8194:8963 9218:9987 10242:11011 11266:12035 12290:13059 13314:14083 14338:15107 15362:16131" s="77" customFormat="1" x14ac:dyDescent="0.3">
      <c r="A1372" s="36"/>
      <c r="B1372" s="37"/>
      <c r="C1372" s="75" t="s">
        <v>631</v>
      </c>
      <c r="D1372" s="76" t="s">
        <v>22</v>
      </c>
      <c r="E1372" s="44">
        <v>2</v>
      </c>
      <c r="F1372" s="74">
        <v>40000</v>
      </c>
      <c r="G1372" s="40">
        <f>E1372*F1372</f>
        <v>80000</v>
      </c>
      <c r="H1372" s="52"/>
    </row>
    <row r="1373" spans="1:771 1026:1795 2050:2819 3074:3843 4098:4867 5122:5891 6146:6915 7170:7939 8194:8963 9218:9987 10242:11011 11266:12035 12290:13059 13314:14083 14338:15107 15362:16131" s="35" customFormat="1" ht="65.400000000000006" thickBot="1" x14ac:dyDescent="0.35">
      <c r="A1373" s="53"/>
      <c r="B1373" s="54"/>
      <c r="C1373" s="55" t="s">
        <v>2331</v>
      </c>
      <c r="D1373" s="56"/>
      <c r="E1373" s="5"/>
      <c r="F1373" s="6"/>
      <c r="G1373" s="57"/>
      <c r="H1373" s="58"/>
    </row>
    <row r="1374" spans="1:771 1026:1795 2050:2819 3074:3843 4098:4867 5122:5891 6146:6915 7170:7939 8194:8963 9218:9987 10242:11011 11266:12035 12290:13059 13314:14083 14338:15107 15362:16131" s="59" customFormat="1" ht="31.8" thickBot="1" x14ac:dyDescent="0.35">
      <c r="A1374" s="154"/>
      <c r="B1374" s="155" t="s">
        <v>26</v>
      </c>
      <c r="C1374" s="156"/>
      <c r="D1374" s="154"/>
      <c r="E1374" s="157"/>
      <c r="F1374" s="158"/>
      <c r="G1374" s="159">
        <f>SUM(G1365:G1373)/2</f>
        <v>197030000</v>
      </c>
      <c r="H1374" s="160"/>
      <c r="IX1374" s="35"/>
      <c r="IY1374" s="35"/>
      <c r="ST1374" s="35"/>
      <c r="SU1374" s="35"/>
      <c r="ACP1374" s="35"/>
      <c r="ACQ1374" s="35"/>
      <c r="AML1374" s="35"/>
      <c r="AMM1374" s="35"/>
      <c r="AWH1374" s="35"/>
      <c r="AWI1374" s="35"/>
      <c r="BGD1374" s="35"/>
      <c r="BGE1374" s="35"/>
      <c r="BPZ1374" s="35"/>
      <c r="BQA1374" s="35"/>
      <c r="BZV1374" s="35"/>
      <c r="BZW1374" s="35"/>
      <c r="CJR1374" s="35"/>
      <c r="CJS1374" s="35"/>
      <c r="CTN1374" s="35"/>
      <c r="CTO1374" s="35"/>
      <c r="DDJ1374" s="35"/>
      <c r="DDK1374" s="35"/>
      <c r="DNF1374" s="35"/>
      <c r="DNG1374" s="35"/>
      <c r="DXB1374" s="35"/>
      <c r="DXC1374" s="35"/>
      <c r="EGX1374" s="35"/>
      <c r="EGY1374" s="35"/>
      <c r="EQT1374" s="35"/>
      <c r="EQU1374" s="35"/>
      <c r="FAP1374" s="35"/>
      <c r="FAQ1374" s="35"/>
      <c r="FKL1374" s="35"/>
      <c r="FKM1374" s="35"/>
      <c r="FUH1374" s="35"/>
      <c r="FUI1374" s="35"/>
      <c r="GED1374" s="35"/>
      <c r="GEE1374" s="35"/>
      <c r="GNZ1374" s="35"/>
      <c r="GOA1374" s="35"/>
      <c r="GXV1374" s="35"/>
      <c r="GXW1374" s="35"/>
      <c r="HHR1374" s="35"/>
      <c r="HHS1374" s="35"/>
      <c r="HRN1374" s="35"/>
      <c r="HRO1374" s="35"/>
      <c r="IBJ1374" s="35"/>
      <c r="IBK1374" s="35"/>
      <c r="ILF1374" s="35"/>
      <c r="ILG1374" s="35"/>
      <c r="IVB1374" s="35"/>
      <c r="IVC1374" s="35"/>
      <c r="JEX1374" s="35"/>
      <c r="JEY1374" s="35"/>
      <c r="JOT1374" s="35"/>
      <c r="JOU1374" s="35"/>
      <c r="JYP1374" s="35"/>
      <c r="JYQ1374" s="35"/>
      <c r="KIL1374" s="35"/>
      <c r="KIM1374" s="35"/>
      <c r="KSH1374" s="35"/>
      <c r="KSI1374" s="35"/>
      <c r="LCD1374" s="35"/>
      <c r="LCE1374" s="35"/>
      <c r="LLZ1374" s="35"/>
      <c r="LMA1374" s="35"/>
      <c r="LVV1374" s="35"/>
      <c r="LVW1374" s="35"/>
      <c r="MFR1374" s="35"/>
      <c r="MFS1374" s="35"/>
      <c r="MPN1374" s="35"/>
      <c r="MPO1374" s="35"/>
      <c r="MZJ1374" s="35"/>
      <c r="MZK1374" s="35"/>
      <c r="NJF1374" s="35"/>
      <c r="NJG1374" s="35"/>
      <c r="NTB1374" s="35"/>
      <c r="NTC1374" s="35"/>
      <c r="OCX1374" s="35"/>
      <c r="OCY1374" s="35"/>
      <c r="OMT1374" s="35"/>
      <c r="OMU1374" s="35"/>
      <c r="OWP1374" s="35"/>
      <c r="OWQ1374" s="35"/>
      <c r="PGL1374" s="35"/>
      <c r="PGM1374" s="35"/>
      <c r="PQH1374" s="35"/>
      <c r="PQI1374" s="35"/>
      <c r="QAD1374" s="35"/>
      <c r="QAE1374" s="35"/>
      <c r="QJZ1374" s="35"/>
      <c r="QKA1374" s="35"/>
      <c r="QTV1374" s="35"/>
      <c r="QTW1374" s="35"/>
      <c r="RDR1374" s="35"/>
      <c r="RDS1374" s="35"/>
      <c r="RNN1374" s="35"/>
      <c r="RNO1374" s="35"/>
      <c r="RXJ1374" s="35"/>
      <c r="RXK1374" s="35"/>
      <c r="SHF1374" s="35"/>
      <c r="SHG1374" s="35"/>
      <c r="SRB1374" s="35"/>
      <c r="SRC1374" s="35"/>
      <c r="TAX1374" s="35"/>
      <c r="TAY1374" s="35"/>
      <c r="TKT1374" s="35"/>
      <c r="TKU1374" s="35"/>
      <c r="TUP1374" s="35"/>
      <c r="TUQ1374" s="35"/>
      <c r="UEL1374" s="35"/>
      <c r="UEM1374" s="35"/>
      <c r="UOH1374" s="35"/>
      <c r="UOI1374" s="35"/>
      <c r="UYD1374" s="35"/>
      <c r="UYE1374" s="35"/>
      <c r="VHZ1374" s="35"/>
      <c r="VIA1374" s="35"/>
      <c r="VRV1374" s="35"/>
      <c r="VRW1374" s="35"/>
      <c r="WBR1374" s="35"/>
      <c r="WBS1374" s="35"/>
      <c r="WLN1374" s="35"/>
      <c r="WLO1374" s="35"/>
      <c r="WVJ1374" s="35"/>
      <c r="WVK1374" s="35"/>
    </row>
    <row r="1375" spans="1:771 1026:1795 2050:2819 3074:3843 4098:4867 5122:5891 6146:6915 7170:7939 8194:8963 9218:9987 10242:11011 11266:12035 12290:13059 13314:14083 14338:15107 15362:16131" s="35" customFormat="1" ht="55.2" x14ac:dyDescent="0.3">
      <c r="A1375" s="28">
        <v>129</v>
      </c>
      <c r="B1375" s="29" t="s">
        <v>1074</v>
      </c>
      <c r="C1375" s="30" t="s">
        <v>1078</v>
      </c>
      <c r="D1375" s="31" t="s">
        <v>13</v>
      </c>
      <c r="E1375" s="32">
        <v>8</v>
      </c>
      <c r="F1375" s="33"/>
      <c r="G1375" s="33"/>
      <c r="H1375" s="34" t="s">
        <v>1079</v>
      </c>
    </row>
    <row r="1376" spans="1:771 1026:1795 2050:2819 3074:3843 4098:4867 5122:5891 6146:6915 7170:7939 8194:8963 9218:9987 10242:11011 11266:12035 12290:13059 13314:14083 14338:15107 15362:16131" s="35" customFormat="1" x14ac:dyDescent="0.3">
      <c r="A1376" s="36"/>
      <c r="B1376" s="72" t="s">
        <v>1075</v>
      </c>
      <c r="C1376" s="38" t="s">
        <v>14</v>
      </c>
      <c r="D1376" s="39"/>
      <c r="E1376" s="44"/>
      <c r="F1376" s="40"/>
      <c r="G1376" s="41">
        <f>SUM(G1377)</f>
        <v>155832000</v>
      </c>
      <c r="H1376" s="42"/>
    </row>
    <row r="1377" spans="1:771 1026:1795 2050:2819 3074:3843 4098:4867 5122:5891 6146:6915 7170:7939 8194:8963 9218:9987 10242:11011 11266:12035 12290:13059 13314:14083 14338:15107 15362:16131" s="35" customFormat="1" ht="62.4" x14ac:dyDescent="0.3">
      <c r="A1377" s="36"/>
      <c r="B1377" s="72" t="s">
        <v>1076</v>
      </c>
      <c r="C1377" s="48" t="s">
        <v>38</v>
      </c>
      <c r="D1377" s="39" t="s">
        <v>13</v>
      </c>
      <c r="E1377" s="73">
        <v>8</v>
      </c>
      <c r="F1377" s="161">
        <v>19479000</v>
      </c>
      <c r="G1377" s="40">
        <f>E1377*F1377</f>
        <v>155832000</v>
      </c>
      <c r="H1377" s="42"/>
    </row>
    <row r="1378" spans="1:771 1026:1795 2050:2819 3074:3843 4098:4867 5122:5891 6146:6915 7170:7939 8194:8963 9218:9987 10242:11011 11266:12035 12290:13059 13314:14083 14338:15107 15362:16131" s="35" customFormat="1" x14ac:dyDescent="0.3">
      <c r="A1378" s="36"/>
      <c r="B1378" s="72" t="s">
        <v>1077</v>
      </c>
      <c r="C1378" s="47" t="s">
        <v>35</v>
      </c>
      <c r="D1378" s="39"/>
      <c r="E1378" s="73"/>
      <c r="F1378" s="40"/>
      <c r="G1378" s="41">
        <f>SUM(G1379:G1381)</f>
        <v>11781759.999999998</v>
      </c>
      <c r="H1378" s="45"/>
    </row>
    <row r="1379" spans="1:771 1026:1795 2050:2819 3074:3843 4098:4867 5122:5891 6146:6915 7170:7939 8194:8963 9218:9987 10242:11011 11266:12035 12290:13059 13314:14083 14338:15107 15362:16131" s="77" customFormat="1" ht="93.6" x14ac:dyDescent="0.3">
      <c r="A1379" s="36"/>
      <c r="B1379" s="75"/>
      <c r="C1379" s="66" t="s">
        <v>1080</v>
      </c>
      <c r="D1379" s="39" t="s">
        <v>13</v>
      </c>
      <c r="E1379" s="73">
        <f>2*4.1</f>
        <v>8.1999999999999993</v>
      </c>
      <c r="F1379" s="74">
        <f>3592000*40%</f>
        <v>1436800</v>
      </c>
      <c r="G1379" s="40">
        <f>E1379*F1379</f>
        <v>11781759.999999998</v>
      </c>
      <c r="H1379" s="45" t="s">
        <v>2481</v>
      </c>
    </row>
    <row r="1380" spans="1:771 1026:1795 2050:2819 3074:3843 4098:4867 5122:5891 6146:6915 7170:7939 8194:8963 9218:9987 10242:11011 11266:12035 12290:13059 13314:14083 14338:15107 15362:16131" s="77" customFormat="1" x14ac:dyDescent="0.3">
      <c r="A1380" s="36"/>
      <c r="B1380" s="75"/>
      <c r="C1380" s="66" t="s">
        <v>105</v>
      </c>
      <c r="D1380" s="39" t="s">
        <v>106</v>
      </c>
      <c r="E1380" s="73">
        <v>1</v>
      </c>
      <c r="F1380" s="74"/>
      <c r="G1380" s="40">
        <f>E1380*F1380</f>
        <v>0</v>
      </c>
      <c r="H1380" s="52" t="s">
        <v>2353</v>
      </c>
    </row>
    <row r="1381" spans="1:771 1026:1795 2050:2819 3074:3843 4098:4867 5122:5891 6146:6915 7170:7939 8194:8963 9218:9987 10242:11011 11266:12035 12290:13059 13314:14083 14338:15107 15362:16131" s="35" customFormat="1" ht="65.400000000000006" thickBot="1" x14ac:dyDescent="0.35">
      <c r="A1381" s="53"/>
      <c r="B1381" s="54"/>
      <c r="C1381" s="55" t="s">
        <v>2331</v>
      </c>
      <c r="D1381" s="56"/>
      <c r="E1381" s="5"/>
      <c r="F1381" s="6"/>
      <c r="G1381" s="57"/>
      <c r="H1381" s="58"/>
    </row>
    <row r="1382" spans="1:771 1026:1795 2050:2819 3074:3843 4098:4867 5122:5891 6146:6915 7170:7939 8194:8963 9218:9987 10242:11011 11266:12035 12290:13059 13314:14083 14338:15107 15362:16131" s="59" customFormat="1" ht="31.8" thickBot="1" x14ac:dyDescent="0.35">
      <c r="A1382" s="154"/>
      <c r="B1382" s="155" t="s">
        <v>26</v>
      </c>
      <c r="C1382" s="156"/>
      <c r="D1382" s="154"/>
      <c r="E1382" s="157"/>
      <c r="F1382" s="158"/>
      <c r="G1382" s="159">
        <f>SUM(G1375:G1381)/2</f>
        <v>167613760</v>
      </c>
      <c r="H1382" s="160"/>
      <c r="IX1382" s="35"/>
      <c r="IY1382" s="35"/>
      <c r="ST1382" s="35"/>
      <c r="SU1382" s="35"/>
      <c r="ACP1382" s="35"/>
      <c r="ACQ1382" s="35"/>
      <c r="AML1382" s="35"/>
      <c r="AMM1382" s="35"/>
      <c r="AWH1382" s="35"/>
      <c r="AWI1382" s="35"/>
      <c r="BGD1382" s="35"/>
      <c r="BGE1382" s="35"/>
      <c r="BPZ1382" s="35"/>
      <c r="BQA1382" s="35"/>
      <c r="BZV1382" s="35"/>
      <c r="BZW1382" s="35"/>
      <c r="CJR1382" s="35"/>
      <c r="CJS1382" s="35"/>
      <c r="CTN1382" s="35"/>
      <c r="CTO1382" s="35"/>
      <c r="DDJ1382" s="35"/>
      <c r="DDK1382" s="35"/>
      <c r="DNF1382" s="35"/>
      <c r="DNG1382" s="35"/>
      <c r="DXB1382" s="35"/>
      <c r="DXC1382" s="35"/>
      <c r="EGX1382" s="35"/>
      <c r="EGY1382" s="35"/>
      <c r="EQT1382" s="35"/>
      <c r="EQU1382" s="35"/>
      <c r="FAP1382" s="35"/>
      <c r="FAQ1382" s="35"/>
      <c r="FKL1382" s="35"/>
      <c r="FKM1382" s="35"/>
      <c r="FUH1382" s="35"/>
      <c r="FUI1382" s="35"/>
      <c r="GED1382" s="35"/>
      <c r="GEE1382" s="35"/>
      <c r="GNZ1382" s="35"/>
      <c r="GOA1382" s="35"/>
      <c r="GXV1382" s="35"/>
      <c r="GXW1382" s="35"/>
      <c r="HHR1382" s="35"/>
      <c r="HHS1382" s="35"/>
      <c r="HRN1382" s="35"/>
      <c r="HRO1382" s="35"/>
      <c r="IBJ1382" s="35"/>
      <c r="IBK1382" s="35"/>
      <c r="ILF1382" s="35"/>
      <c r="ILG1382" s="35"/>
      <c r="IVB1382" s="35"/>
      <c r="IVC1382" s="35"/>
      <c r="JEX1382" s="35"/>
      <c r="JEY1382" s="35"/>
      <c r="JOT1382" s="35"/>
      <c r="JOU1382" s="35"/>
      <c r="JYP1382" s="35"/>
      <c r="JYQ1382" s="35"/>
      <c r="KIL1382" s="35"/>
      <c r="KIM1382" s="35"/>
      <c r="KSH1382" s="35"/>
      <c r="KSI1382" s="35"/>
      <c r="LCD1382" s="35"/>
      <c r="LCE1382" s="35"/>
      <c r="LLZ1382" s="35"/>
      <c r="LMA1382" s="35"/>
      <c r="LVV1382" s="35"/>
      <c r="LVW1382" s="35"/>
      <c r="MFR1382" s="35"/>
      <c r="MFS1382" s="35"/>
      <c r="MPN1382" s="35"/>
      <c r="MPO1382" s="35"/>
      <c r="MZJ1382" s="35"/>
      <c r="MZK1382" s="35"/>
      <c r="NJF1382" s="35"/>
      <c r="NJG1382" s="35"/>
      <c r="NTB1382" s="35"/>
      <c r="NTC1382" s="35"/>
      <c r="OCX1382" s="35"/>
      <c r="OCY1382" s="35"/>
      <c r="OMT1382" s="35"/>
      <c r="OMU1382" s="35"/>
      <c r="OWP1382" s="35"/>
      <c r="OWQ1382" s="35"/>
      <c r="PGL1382" s="35"/>
      <c r="PGM1382" s="35"/>
      <c r="PQH1382" s="35"/>
      <c r="PQI1382" s="35"/>
      <c r="QAD1382" s="35"/>
      <c r="QAE1382" s="35"/>
      <c r="QJZ1382" s="35"/>
      <c r="QKA1382" s="35"/>
      <c r="QTV1382" s="35"/>
      <c r="QTW1382" s="35"/>
      <c r="RDR1382" s="35"/>
      <c r="RDS1382" s="35"/>
      <c r="RNN1382" s="35"/>
      <c r="RNO1382" s="35"/>
      <c r="RXJ1382" s="35"/>
      <c r="RXK1382" s="35"/>
      <c r="SHF1382" s="35"/>
      <c r="SHG1382" s="35"/>
      <c r="SRB1382" s="35"/>
      <c r="SRC1382" s="35"/>
      <c r="TAX1382" s="35"/>
      <c r="TAY1382" s="35"/>
      <c r="TKT1382" s="35"/>
      <c r="TKU1382" s="35"/>
      <c r="TUP1382" s="35"/>
      <c r="TUQ1382" s="35"/>
      <c r="UEL1382" s="35"/>
      <c r="UEM1382" s="35"/>
      <c r="UOH1382" s="35"/>
      <c r="UOI1382" s="35"/>
      <c r="UYD1382" s="35"/>
      <c r="UYE1382" s="35"/>
      <c r="VHZ1382" s="35"/>
      <c r="VIA1382" s="35"/>
      <c r="VRV1382" s="35"/>
      <c r="VRW1382" s="35"/>
      <c r="WBR1382" s="35"/>
      <c r="WBS1382" s="35"/>
      <c r="WLN1382" s="35"/>
      <c r="WLO1382" s="35"/>
      <c r="WVJ1382" s="35"/>
      <c r="WVK1382" s="35"/>
    </row>
    <row r="1383" spans="1:771 1026:1795 2050:2819 3074:3843 4098:4867 5122:5891 6146:6915 7170:7939 8194:8963 9218:9987 10242:11011 11266:12035 12290:13059 13314:14083 14338:15107 15362:16131" s="35" customFormat="1" ht="55.2" x14ac:dyDescent="0.3">
      <c r="A1383" s="28">
        <v>130</v>
      </c>
      <c r="B1383" s="29" t="s">
        <v>1081</v>
      </c>
      <c r="C1383" s="30" t="s">
        <v>1084</v>
      </c>
      <c r="D1383" s="31" t="s">
        <v>13</v>
      </c>
      <c r="E1383" s="32">
        <v>10.3</v>
      </c>
      <c r="F1383" s="33"/>
      <c r="G1383" s="33"/>
      <c r="H1383" s="34" t="s">
        <v>1085</v>
      </c>
    </row>
    <row r="1384" spans="1:771 1026:1795 2050:2819 3074:3843 4098:4867 5122:5891 6146:6915 7170:7939 8194:8963 9218:9987 10242:11011 11266:12035 12290:13059 13314:14083 14338:15107 15362:16131" s="35" customFormat="1" x14ac:dyDescent="0.3">
      <c r="A1384" s="36"/>
      <c r="B1384" s="72" t="s">
        <v>1082</v>
      </c>
      <c r="C1384" s="38" t="s">
        <v>14</v>
      </c>
      <c r="D1384" s="39"/>
      <c r="E1384" s="44"/>
      <c r="F1384" s="40"/>
      <c r="G1384" s="41">
        <f>SUM(G1385)</f>
        <v>200633700</v>
      </c>
      <c r="H1384" s="42"/>
    </row>
    <row r="1385" spans="1:771 1026:1795 2050:2819 3074:3843 4098:4867 5122:5891 6146:6915 7170:7939 8194:8963 9218:9987 10242:11011 11266:12035 12290:13059 13314:14083 14338:15107 15362:16131" s="35" customFormat="1" ht="78" x14ac:dyDescent="0.3">
      <c r="A1385" s="36"/>
      <c r="B1385" s="72" t="s">
        <v>1083</v>
      </c>
      <c r="C1385" s="48" t="s">
        <v>38</v>
      </c>
      <c r="D1385" s="39" t="s">
        <v>13</v>
      </c>
      <c r="E1385" s="73">
        <v>10.3</v>
      </c>
      <c r="F1385" s="161">
        <v>19479000</v>
      </c>
      <c r="G1385" s="40">
        <f>E1385*F1385</f>
        <v>200633700</v>
      </c>
      <c r="H1385" s="42"/>
    </row>
    <row r="1386" spans="1:771 1026:1795 2050:2819 3074:3843 4098:4867 5122:5891 6146:6915 7170:7939 8194:8963 9218:9987 10242:11011 11266:12035 12290:13059 13314:14083 14338:15107 15362:16131" s="35" customFormat="1" x14ac:dyDescent="0.3">
      <c r="A1386" s="36"/>
      <c r="B1386" s="72" t="s">
        <v>1077</v>
      </c>
      <c r="C1386" s="47" t="s">
        <v>35</v>
      </c>
      <c r="D1386" s="39"/>
      <c r="E1386" s="73"/>
      <c r="F1386" s="40"/>
      <c r="G1386" s="41">
        <f>SUM(G1387)</f>
        <v>5683500</v>
      </c>
      <c r="H1386" s="45"/>
    </row>
    <row r="1387" spans="1:771 1026:1795 2050:2819 3074:3843 4098:4867 5122:5891 6146:6915 7170:7939 8194:8963 9218:9987 10242:11011 11266:12035 12290:13059 13314:14083 14338:15107 15362:16131" s="77" customFormat="1" ht="46.8" x14ac:dyDescent="0.3">
      <c r="A1387" s="36"/>
      <c r="B1387" s="75"/>
      <c r="C1387" s="66" t="s">
        <v>1086</v>
      </c>
      <c r="D1387" s="39" t="s">
        <v>13</v>
      </c>
      <c r="E1387" s="73">
        <v>10.525</v>
      </c>
      <c r="F1387" s="74">
        <v>540000</v>
      </c>
      <c r="G1387" s="40">
        <f>E1387*F1387</f>
        <v>5683500</v>
      </c>
      <c r="H1387" s="45" t="s">
        <v>2482</v>
      </c>
    </row>
    <row r="1388" spans="1:771 1026:1795 2050:2819 3074:3843 4098:4867 5122:5891 6146:6915 7170:7939 8194:8963 9218:9987 10242:11011 11266:12035 12290:13059 13314:14083 14338:15107 15362:16131" s="35" customFormat="1" ht="65.400000000000006" thickBot="1" x14ac:dyDescent="0.35">
      <c r="A1388" s="53"/>
      <c r="B1388" s="54"/>
      <c r="C1388" s="55" t="s">
        <v>2331</v>
      </c>
      <c r="D1388" s="56"/>
      <c r="E1388" s="5"/>
      <c r="F1388" s="6"/>
      <c r="G1388" s="57"/>
      <c r="H1388" s="58"/>
    </row>
    <row r="1389" spans="1:771 1026:1795 2050:2819 3074:3843 4098:4867 5122:5891 6146:6915 7170:7939 8194:8963 9218:9987 10242:11011 11266:12035 12290:13059 13314:14083 14338:15107 15362:16131" s="59" customFormat="1" ht="31.8" thickBot="1" x14ac:dyDescent="0.35">
      <c r="A1389" s="154"/>
      <c r="B1389" s="155" t="s">
        <v>26</v>
      </c>
      <c r="C1389" s="156"/>
      <c r="D1389" s="154"/>
      <c r="E1389" s="157"/>
      <c r="F1389" s="158"/>
      <c r="G1389" s="159">
        <f>SUM(G1383:G1388)/2</f>
        <v>206317200</v>
      </c>
      <c r="H1389" s="160"/>
      <c r="IX1389" s="35"/>
      <c r="IY1389" s="35"/>
      <c r="ST1389" s="35"/>
      <c r="SU1389" s="35"/>
      <c r="ACP1389" s="35"/>
      <c r="ACQ1389" s="35"/>
      <c r="AML1389" s="35"/>
      <c r="AMM1389" s="35"/>
      <c r="AWH1389" s="35"/>
      <c r="AWI1389" s="35"/>
      <c r="BGD1389" s="35"/>
      <c r="BGE1389" s="35"/>
      <c r="BPZ1389" s="35"/>
      <c r="BQA1389" s="35"/>
      <c r="BZV1389" s="35"/>
      <c r="BZW1389" s="35"/>
      <c r="CJR1389" s="35"/>
      <c r="CJS1389" s="35"/>
      <c r="CTN1389" s="35"/>
      <c r="CTO1389" s="35"/>
      <c r="DDJ1389" s="35"/>
      <c r="DDK1389" s="35"/>
      <c r="DNF1389" s="35"/>
      <c r="DNG1389" s="35"/>
      <c r="DXB1389" s="35"/>
      <c r="DXC1389" s="35"/>
      <c r="EGX1389" s="35"/>
      <c r="EGY1389" s="35"/>
      <c r="EQT1389" s="35"/>
      <c r="EQU1389" s="35"/>
      <c r="FAP1389" s="35"/>
      <c r="FAQ1389" s="35"/>
      <c r="FKL1389" s="35"/>
      <c r="FKM1389" s="35"/>
      <c r="FUH1389" s="35"/>
      <c r="FUI1389" s="35"/>
      <c r="GED1389" s="35"/>
      <c r="GEE1389" s="35"/>
      <c r="GNZ1389" s="35"/>
      <c r="GOA1389" s="35"/>
      <c r="GXV1389" s="35"/>
      <c r="GXW1389" s="35"/>
      <c r="HHR1389" s="35"/>
      <c r="HHS1389" s="35"/>
      <c r="HRN1389" s="35"/>
      <c r="HRO1389" s="35"/>
      <c r="IBJ1389" s="35"/>
      <c r="IBK1389" s="35"/>
      <c r="ILF1389" s="35"/>
      <c r="ILG1389" s="35"/>
      <c r="IVB1389" s="35"/>
      <c r="IVC1389" s="35"/>
      <c r="JEX1389" s="35"/>
      <c r="JEY1389" s="35"/>
      <c r="JOT1389" s="35"/>
      <c r="JOU1389" s="35"/>
      <c r="JYP1389" s="35"/>
      <c r="JYQ1389" s="35"/>
      <c r="KIL1389" s="35"/>
      <c r="KIM1389" s="35"/>
      <c r="KSH1389" s="35"/>
      <c r="KSI1389" s="35"/>
      <c r="LCD1389" s="35"/>
      <c r="LCE1389" s="35"/>
      <c r="LLZ1389" s="35"/>
      <c r="LMA1389" s="35"/>
      <c r="LVV1389" s="35"/>
      <c r="LVW1389" s="35"/>
      <c r="MFR1389" s="35"/>
      <c r="MFS1389" s="35"/>
      <c r="MPN1389" s="35"/>
      <c r="MPO1389" s="35"/>
      <c r="MZJ1389" s="35"/>
      <c r="MZK1389" s="35"/>
      <c r="NJF1389" s="35"/>
      <c r="NJG1389" s="35"/>
      <c r="NTB1389" s="35"/>
      <c r="NTC1389" s="35"/>
      <c r="OCX1389" s="35"/>
      <c r="OCY1389" s="35"/>
      <c r="OMT1389" s="35"/>
      <c r="OMU1389" s="35"/>
      <c r="OWP1389" s="35"/>
      <c r="OWQ1389" s="35"/>
      <c r="PGL1389" s="35"/>
      <c r="PGM1389" s="35"/>
      <c r="PQH1389" s="35"/>
      <c r="PQI1389" s="35"/>
      <c r="QAD1389" s="35"/>
      <c r="QAE1389" s="35"/>
      <c r="QJZ1389" s="35"/>
      <c r="QKA1389" s="35"/>
      <c r="QTV1389" s="35"/>
      <c r="QTW1389" s="35"/>
      <c r="RDR1389" s="35"/>
      <c r="RDS1389" s="35"/>
      <c r="RNN1389" s="35"/>
      <c r="RNO1389" s="35"/>
      <c r="RXJ1389" s="35"/>
      <c r="RXK1389" s="35"/>
      <c r="SHF1389" s="35"/>
      <c r="SHG1389" s="35"/>
      <c r="SRB1389" s="35"/>
      <c r="SRC1389" s="35"/>
      <c r="TAX1389" s="35"/>
      <c r="TAY1389" s="35"/>
      <c r="TKT1389" s="35"/>
      <c r="TKU1389" s="35"/>
      <c r="TUP1389" s="35"/>
      <c r="TUQ1389" s="35"/>
      <c r="UEL1389" s="35"/>
      <c r="UEM1389" s="35"/>
      <c r="UOH1389" s="35"/>
      <c r="UOI1389" s="35"/>
      <c r="UYD1389" s="35"/>
      <c r="UYE1389" s="35"/>
      <c r="VHZ1389" s="35"/>
      <c r="VIA1389" s="35"/>
      <c r="VRV1389" s="35"/>
      <c r="VRW1389" s="35"/>
      <c r="WBR1389" s="35"/>
      <c r="WBS1389" s="35"/>
      <c r="WLN1389" s="35"/>
      <c r="WLO1389" s="35"/>
      <c r="WVJ1389" s="35"/>
      <c r="WVK1389" s="35"/>
    </row>
    <row r="1390" spans="1:771 1026:1795 2050:2819 3074:3843 4098:4867 5122:5891 6146:6915 7170:7939 8194:8963 9218:9987 10242:11011 11266:12035 12290:13059 13314:14083 14338:15107 15362:16131" s="35" customFormat="1" ht="55.2" x14ac:dyDescent="0.3">
      <c r="A1390" s="28">
        <v>131</v>
      </c>
      <c r="B1390" s="29" t="s">
        <v>1094</v>
      </c>
      <c r="C1390" s="30" t="s">
        <v>1098</v>
      </c>
      <c r="D1390" s="31" t="s">
        <v>13</v>
      </c>
      <c r="E1390" s="32">
        <f>20.1+12</f>
        <v>32.1</v>
      </c>
      <c r="F1390" s="33"/>
      <c r="G1390" s="33"/>
      <c r="H1390" s="34" t="s">
        <v>1099</v>
      </c>
    </row>
    <row r="1391" spans="1:771 1026:1795 2050:2819 3074:3843 4098:4867 5122:5891 6146:6915 7170:7939 8194:8963 9218:9987 10242:11011 11266:12035 12290:13059 13314:14083 14338:15107 15362:16131" s="35" customFormat="1" x14ac:dyDescent="0.3">
      <c r="A1391" s="36"/>
      <c r="B1391" s="72" t="s">
        <v>1095</v>
      </c>
      <c r="C1391" s="38" t="s">
        <v>14</v>
      </c>
      <c r="D1391" s="39"/>
      <c r="E1391" s="44"/>
      <c r="F1391" s="40"/>
      <c r="G1391" s="41">
        <f>SUM(G1392)</f>
        <v>625275900</v>
      </c>
      <c r="H1391" s="42"/>
    </row>
    <row r="1392" spans="1:771 1026:1795 2050:2819 3074:3843 4098:4867 5122:5891 6146:6915 7170:7939 8194:8963 9218:9987 10242:11011 11266:12035 12290:13059 13314:14083 14338:15107 15362:16131" s="35" customFormat="1" ht="78" x14ac:dyDescent="0.3">
      <c r="A1392" s="36"/>
      <c r="B1392" s="72" t="s">
        <v>1096</v>
      </c>
      <c r="C1392" s="48" t="s">
        <v>38</v>
      </c>
      <c r="D1392" s="39" t="s">
        <v>13</v>
      </c>
      <c r="E1392" s="73">
        <f>20.1+12</f>
        <v>32.1</v>
      </c>
      <c r="F1392" s="161">
        <v>19479000</v>
      </c>
      <c r="G1392" s="40">
        <f>E1392*F1392</f>
        <v>625275900</v>
      </c>
      <c r="H1392" s="42"/>
    </row>
    <row r="1393" spans="1:771 1026:1795 2050:2819 3074:3843 4098:4867 5122:5891 6146:6915 7170:7939 8194:8963 9218:9987 10242:11011 11266:12035 12290:13059 13314:14083 14338:15107 15362:16131" s="35" customFormat="1" x14ac:dyDescent="0.3">
      <c r="A1393" s="36"/>
      <c r="B1393" s="72" t="s">
        <v>1097</v>
      </c>
      <c r="C1393" s="47" t="s">
        <v>35</v>
      </c>
      <c r="D1393" s="39"/>
      <c r="E1393" s="73"/>
      <c r="F1393" s="40"/>
      <c r="G1393" s="41">
        <f>SUM(G1394:G1396)</f>
        <v>5178480</v>
      </c>
      <c r="H1393" s="45"/>
    </row>
    <row r="1394" spans="1:771 1026:1795 2050:2819 3074:3843 4098:4867 5122:5891 6146:6915 7170:7939 8194:8963 9218:9987 10242:11011 11266:12035 12290:13059 13314:14083 14338:15107 15362:16131" s="77" customFormat="1" ht="46.8" x14ac:dyDescent="0.3">
      <c r="A1394" s="36"/>
      <c r="B1394" s="75"/>
      <c r="C1394" s="66" t="s">
        <v>1100</v>
      </c>
      <c r="D1394" s="39" t="s">
        <v>13</v>
      </c>
      <c r="E1394" s="73">
        <v>20</v>
      </c>
      <c r="F1394" s="74">
        <f>540000*40%</f>
        <v>216000</v>
      </c>
      <c r="G1394" s="40">
        <f>E1394*F1394</f>
        <v>4320000</v>
      </c>
      <c r="H1394" s="45" t="s">
        <v>2483</v>
      </c>
    </row>
    <row r="1395" spans="1:771 1026:1795 2050:2819 3074:3843 4098:4867 5122:5891 6146:6915 7170:7939 8194:8963 9218:9987 10242:11011 11266:12035 12290:13059 13314:14083 14338:15107 15362:16131" s="77" customFormat="1" ht="18.600000000000001" x14ac:dyDescent="0.3">
      <c r="A1395" s="36"/>
      <c r="B1395" s="75"/>
      <c r="C1395" s="66" t="s">
        <v>260</v>
      </c>
      <c r="D1395" s="39" t="s">
        <v>104</v>
      </c>
      <c r="E1395" s="73">
        <v>0.56000000000000005</v>
      </c>
      <c r="F1395" s="40">
        <v>1533000</v>
      </c>
      <c r="G1395" s="40">
        <f>E1395*F1395</f>
        <v>858480.00000000012</v>
      </c>
      <c r="H1395" s="45"/>
    </row>
    <row r="1396" spans="1:771 1026:1795 2050:2819 3074:3843 4098:4867 5122:5891 6146:6915 7170:7939 8194:8963 9218:9987 10242:11011 11266:12035 12290:13059 13314:14083 14338:15107 15362:16131" s="77" customFormat="1" x14ac:dyDescent="0.3">
      <c r="A1396" s="36"/>
      <c r="B1396" s="75"/>
      <c r="C1396" s="66" t="s">
        <v>105</v>
      </c>
      <c r="D1396" s="39" t="s">
        <v>106</v>
      </c>
      <c r="E1396" s="73">
        <v>1</v>
      </c>
      <c r="F1396" s="74"/>
      <c r="G1396" s="40">
        <f>E1396*F1396</f>
        <v>0</v>
      </c>
      <c r="H1396" s="52" t="s">
        <v>2353</v>
      </c>
    </row>
    <row r="1397" spans="1:771 1026:1795 2050:2819 3074:3843 4098:4867 5122:5891 6146:6915 7170:7939 8194:8963 9218:9987 10242:11011 11266:12035 12290:13059 13314:14083 14338:15107 15362:16131" s="35" customFormat="1" ht="65.400000000000006" thickBot="1" x14ac:dyDescent="0.35">
      <c r="A1397" s="53"/>
      <c r="B1397" s="54"/>
      <c r="C1397" s="55" t="s">
        <v>2331</v>
      </c>
      <c r="D1397" s="56"/>
      <c r="E1397" s="5"/>
      <c r="F1397" s="6"/>
      <c r="G1397" s="57"/>
      <c r="H1397" s="58"/>
    </row>
    <row r="1398" spans="1:771 1026:1795 2050:2819 3074:3843 4098:4867 5122:5891 6146:6915 7170:7939 8194:8963 9218:9987 10242:11011 11266:12035 12290:13059 13314:14083 14338:15107 15362:16131" s="59" customFormat="1" ht="31.8" thickBot="1" x14ac:dyDescent="0.35">
      <c r="A1398" s="154"/>
      <c r="B1398" s="155" t="s">
        <v>26</v>
      </c>
      <c r="C1398" s="156"/>
      <c r="D1398" s="154"/>
      <c r="E1398" s="157"/>
      <c r="F1398" s="158"/>
      <c r="G1398" s="159">
        <f>SUM(G1390:G1397)/2</f>
        <v>630454380</v>
      </c>
      <c r="H1398" s="160"/>
      <c r="IX1398" s="35"/>
      <c r="IY1398" s="35"/>
      <c r="ST1398" s="35"/>
      <c r="SU1398" s="35"/>
      <c r="ACP1398" s="35"/>
      <c r="ACQ1398" s="35"/>
      <c r="AML1398" s="35"/>
      <c r="AMM1398" s="35"/>
      <c r="AWH1398" s="35"/>
      <c r="AWI1398" s="35"/>
      <c r="BGD1398" s="35"/>
      <c r="BGE1398" s="35"/>
      <c r="BPZ1398" s="35"/>
      <c r="BQA1398" s="35"/>
      <c r="BZV1398" s="35"/>
      <c r="BZW1398" s="35"/>
      <c r="CJR1398" s="35"/>
      <c r="CJS1398" s="35"/>
      <c r="CTN1398" s="35"/>
      <c r="CTO1398" s="35"/>
      <c r="DDJ1398" s="35"/>
      <c r="DDK1398" s="35"/>
      <c r="DNF1398" s="35"/>
      <c r="DNG1398" s="35"/>
      <c r="DXB1398" s="35"/>
      <c r="DXC1398" s="35"/>
      <c r="EGX1398" s="35"/>
      <c r="EGY1398" s="35"/>
      <c r="EQT1398" s="35"/>
      <c r="EQU1398" s="35"/>
      <c r="FAP1398" s="35"/>
      <c r="FAQ1398" s="35"/>
      <c r="FKL1398" s="35"/>
      <c r="FKM1398" s="35"/>
      <c r="FUH1398" s="35"/>
      <c r="FUI1398" s="35"/>
      <c r="GED1398" s="35"/>
      <c r="GEE1398" s="35"/>
      <c r="GNZ1398" s="35"/>
      <c r="GOA1398" s="35"/>
      <c r="GXV1398" s="35"/>
      <c r="GXW1398" s="35"/>
      <c r="HHR1398" s="35"/>
      <c r="HHS1398" s="35"/>
      <c r="HRN1398" s="35"/>
      <c r="HRO1398" s="35"/>
      <c r="IBJ1398" s="35"/>
      <c r="IBK1398" s="35"/>
      <c r="ILF1398" s="35"/>
      <c r="ILG1398" s="35"/>
      <c r="IVB1398" s="35"/>
      <c r="IVC1398" s="35"/>
      <c r="JEX1398" s="35"/>
      <c r="JEY1398" s="35"/>
      <c r="JOT1398" s="35"/>
      <c r="JOU1398" s="35"/>
      <c r="JYP1398" s="35"/>
      <c r="JYQ1398" s="35"/>
      <c r="KIL1398" s="35"/>
      <c r="KIM1398" s="35"/>
      <c r="KSH1398" s="35"/>
      <c r="KSI1398" s="35"/>
      <c r="LCD1398" s="35"/>
      <c r="LCE1398" s="35"/>
      <c r="LLZ1398" s="35"/>
      <c r="LMA1398" s="35"/>
      <c r="LVV1398" s="35"/>
      <c r="LVW1398" s="35"/>
      <c r="MFR1398" s="35"/>
      <c r="MFS1398" s="35"/>
      <c r="MPN1398" s="35"/>
      <c r="MPO1398" s="35"/>
      <c r="MZJ1398" s="35"/>
      <c r="MZK1398" s="35"/>
      <c r="NJF1398" s="35"/>
      <c r="NJG1398" s="35"/>
      <c r="NTB1398" s="35"/>
      <c r="NTC1398" s="35"/>
      <c r="OCX1398" s="35"/>
      <c r="OCY1398" s="35"/>
      <c r="OMT1398" s="35"/>
      <c r="OMU1398" s="35"/>
      <c r="OWP1398" s="35"/>
      <c r="OWQ1398" s="35"/>
      <c r="PGL1398" s="35"/>
      <c r="PGM1398" s="35"/>
      <c r="PQH1398" s="35"/>
      <c r="PQI1398" s="35"/>
      <c r="QAD1398" s="35"/>
      <c r="QAE1398" s="35"/>
      <c r="QJZ1398" s="35"/>
      <c r="QKA1398" s="35"/>
      <c r="QTV1398" s="35"/>
      <c r="QTW1398" s="35"/>
      <c r="RDR1398" s="35"/>
      <c r="RDS1398" s="35"/>
      <c r="RNN1398" s="35"/>
      <c r="RNO1398" s="35"/>
      <c r="RXJ1398" s="35"/>
      <c r="RXK1398" s="35"/>
      <c r="SHF1398" s="35"/>
      <c r="SHG1398" s="35"/>
      <c r="SRB1398" s="35"/>
      <c r="SRC1398" s="35"/>
      <c r="TAX1398" s="35"/>
      <c r="TAY1398" s="35"/>
      <c r="TKT1398" s="35"/>
      <c r="TKU1398" s="35"/>
      <c r="TUP1398" s="35"/>
      <c r="TUQ1398" s="35"/>
      <c r="UEL1398" s="35"/>
      <c r="UEM1398" s="35"/>
      <c r="UOH1398" s="35"/>
      <c r="UOI1398" s="35"/>
      <c r="UYD1398" s="35"/>
      <c r="UYE1398" s="35"/>
      <c r="VHZ1398" s="35"/>
      <c r="VIA1398" s="35"/>
      <c r="VRV1398" s="35"/>
      <c r="VRW1398" s="35"/>
      <c r="WBR1398" s="35"/>
      <c r="WBS1398" s="35"/>
      <c r="WLN1398" s="35"/>
      <c r="WLO1398" s="35"/>
      <c r="WVJ1398" s="35"/>
      <c r="WVK1398" s="35"/>
    </row>
    <row r="1399" spans="1:771 1026:1795 2050:2819 3074:3843 4098:4867 5122:5891 6146:6915 7170:7939 8194:8963 9218:9987 10242:11011 11266:12035 12290:13059 13314:14083 14338:15107 15362:16131" s="35" customFormat="1" ht="55.2" x14ac:dyDescent="0.3">
      <c r="A1399" s="28">
        <v>132</v>
      </c>
      <c r="B1399" s="29" t="s">
        <v>458</v>
      </c>
      <c r="C1399" s="30" t="s">
        <v>1103</v>
      </c>
      <c r="D1399" s="31" t="s">
        <v>13</v>
      </c>
      <c r="E1399" s="32">
        <v>9.9</v>
      </c>
      <c r="F1399" s="33"/>
      <c r="G1399" s="33"/>
      <c r="H1399" s="34" t="s">
        <v>1104</v>
      </c>
    </row>
    <row r="1400" spans="1:771 1026:1795 2050:2819 3074:3843 4098:4867 5122:5891 6146:6915 7170:7939 8194:8963 9218:9987 10242:11011 11266:12035 12290:13059 13314:14083 14338:15107 15362:16131" s="35" customFormat="1" x14ac:dyDescent="0.3">
      <c r="A1400" s="36"/>
      <c r="B1400" s="72" t="s">
        <v>1101</v>
      </c>
      <c r="C1400" s="38" t="s">
        <v>14</v>
      </c>
      <c r="D1400" s="39"/>
      <c r="E1400" s="44"/>
      <c r="F1400" s="40"/>
      <c r="G1400" s="41">
        <f>SUM(G1401)</f>
        <v>192842100</v>
      </c>
      <c r="H1400" s="42"/>
    </row>
    <row r="1401" spans="1:771 1026:1795 2050:2819 3074:3843 4098:4867 5122:5891 6146:6915 7170:7939 8194:8963 9218:9987 10242:11011 11266:12035 12290:13059 13314:14083 14338:15107 15362:16131" s="35" customFormat="1" ht="78" x14ac:dyDescent="0.3">
      <c r="A1401" s="36"/>
      <c r="B1401" s="72" t="s">
        <v>1102</v>
      </c>
      <c r="C1401" s="48" t="s">
        <v>38</v>
      </c>
      <c r="D1401" s="39" t="s">
        <v>13</v>
      </c>
      <c r="E1401" s="73">
        <v>9.9</v>
      </c>
      <c r="F1401" s="153">
        <v>19479000</v>
      </c>
      <c r="G1401" s="40">
        <f>E1401*F1401</f>
        <v>192842100</v>
      </c>
      <c r="H1401" s="42"/>
    </row>
    <row r="1402" spans="1:771 1026:1795 2050:2819 3074:3843 4098:4867 5122:5891 6146:6915 7170:7939 8194:8963 9218:9987 10242:11011 11266:12035 12290:13059 13314:14083 14338:15107 15362:16131" s="35" customFormat="1" ht="65.400000000000006" thickBot="1" x14ac:dyDescent="0.35">
      <c r="A1402" s="53"/>
      <c r="B1402" s="54"/>
      <c r="C1402" s="55" t="s">
        <v>2331</v>
      </c>
      <c r="D1402" s="56"/>
      <c r="E1402" s="5"/>
      <c r="F1402" s="6"/>
      <c r="G1402" s="57"/>
      <c r="H1402" s="58"/>
    </row>
    <row r="1403" spans="1:771 1026:1795 2050:2819 3074:3843 4098:4867 5122:5891 6146:6915 7170:7939 8194:8963 9218:9987 10242:11011 11266:12035 12290:13059 13314:14083 14338:15107 15362:16131" s="59" customFormat="1" ht="31.8" thickBot="1" x14ac:dyDescent="0.35">
      <c r="A1403" s="154"/>
      <c r="B1403" s="155" t="s">
        <v>26</v>
      </c>
      <c r="C1403" s="156"/>
      <c r="D1403" s="154"/>
      <c r="E1403" s="157"/>
      <c r="F1403" s="158"/>
      <c r="G1403" s="159">
        <f>SUM(G1399:G1402)/2</f>
        <v>192842100</v>
      </c>
      <c r="H1403" s="160"/>
      <c r="IX1403" s="35"/>
      <c r="IY1403" s="35"/>
      <c r="ST1403" s="35"/>
      <c r="SU1403" s="35"/>
      <c r="ACP1403" s="35"/>
      <c r="ACQ1403" s="35"/>
      <c r="AML1403" s="35"/>
      <c r="AMM1403" s="35"/>
      <c r="AWH1403" s="35"/>
      <c r="AWI1403" s="35"/>
      <c r="BGD1403" s="35"/>
      <c r="BGE1403" s="35"/>
      <c r="BPZ1403" s="35"/>
      <c r="BQA1403" s="35"/>
      <c r="BZV1403" s="35"/>
      <c r="BZW1403" s="35"/>
      <c r="CJR1403" s="35"/>
      <c r="CJS1403" s="35"/>
      <c r="CTN1403" s="35"/>
      <c r="CTO1403" s="35"/>
      <c r="DDJ1403" s="35"/>
      <c r="DDK1403" s="35"/>
      <c r="DNF1403" s="35"/>
      <c r="DNG1403" s="35"/>
      <c r="DXB1403" s="35"/>
      <c r="DXC1403" s="35"/>
      <c r="EGX1403" s="35"/>
      <c r="EGY1403" s="35"/>
      <c r="EQT1403" s="35"/>
      <c r="EQU1403" s="35"/>
      <c r="FAP1403" s="35"/>
      <c r="FAQ1403" s="35"/>
      <c r="FKL1403" s="35"/>
      <c r="FKM1403" s="35"/>
      <c r="FUH1403" s="35"/>
      <c r="FUI1403" s="35"/>
      <c r="GED1403" s="35"/>
      <c r="GEE1403" s="35"/>
      <c r="GNZ1403" s="35"/>
      <c r="GOA1403" s="35"/>
      <c r="GXV1403" s="35"/>
      <c r="GXW1403" s="35"/>
      <c r="HHR1403" s="35"/>
      <c r="HHS1403" s="35"/>
      <c r="HRN1403" s="35"/>
      <c r="HRO1403" s="35"/>
      <c r="IBJ1403" s="35"/>
      <c r="IBK1403" s="35"/>
      <c r="ILF1403" s="35"/>
      <c r="ILG1403" s="35"/>
      <c r="IVB1403" s="35"/>
      <c r="IVC1403" s="35"/>
      <c r="JEX1403" s="35"/>
      <c r="JEY1403" s="35"/>
      <c r="JOT1403" s="35"/>
      <c r="JOU1403" s="35"/>
      <c r="JYP1403" s="35"/>
      <c r="JYQ1403" s="35"/>
      <c r="KIL1403" s="35"/>
      <c r="KIM1403" s="35"/>
      <c r="KSH1403" s="35"/>
      <c r="KSI1403" s="35"/>
      <c r="LCD1403" s="35"/>
      <c r="LCE1403" s="35"/>
      <c r="LLZ1403" s="35"/>
      <c r="LMA1403" s="35"/>
      <c r="LVV1403" s="35"/>
      <c r="LVW1403" s="35"/>
      <c r="MFR1403" s="35"/>
      <c r="MFS1403" s="35"/>
      <c r="MPN1403" s="35"/>
      <c r="MPO1403" s="35"/>
      <c r="MZJ1403" s="35"/>
      <c r="MZK1403" s="35"/>
      <c r="NJF1403" s="35"/>
      <c r="NJG1403" s="35"/>
      <c r="NTB1403" s="35"/>
      <c r="NTC1403" s="35"/>
      <c r="OCX1403" s="35"/>
      <c r="OCY1403" s="35"/>
      <c r="OMT1403" s="35"/>
      <c r="OMU1403" s="35"/>
      <c r="OWP1403" s="35"/>
      <c r="OWQ1403" s="35"/>
      <c r="PGL1403" s="35"/>
      <c r="PGM1403" s="35"/>
      <c r="PQH1403" s="35"/>
      <c r="PQI1403" s="35"/>
      <c r="QAD1403" s="35"/>
      <c r="QAE1403" s="35"/>
      <c r="QJZ1403" s="35"/>
      <c r="QKA1403" s="35"/>
      <c r="QTV1403" s="35"/>
      <c r="QTW1403" s="35"/>
      <c r="RDR1403" s="35"/>
      <c r="RDS1403" s="35"/>
      <c r="RNN1403" s="35"/>
      <c r="RNO1403" s="35"/>
      <c r="RXJ1403" s="35"/>
      <c r="RXK1403" s="35"/>
      <c r="SHF1403" s="35"/>
      <c r="SHG1403" s="35"/>
      <c r="SRB1403" s="35"/>
      <c r="SRC1403" s="35"/>
      <c r="TAX1403" s="35"/>
      <c r="TAY1403" s="35"/>
      <c r="TKT1403" s="35"/>
      <c r="TKU1403" s="35"/>
      <c r="TUP1403" s="35"/>
      <c r="TUQ1403" s="35"/>
      <c r="UEL1403" s="35"/>
      <c r="UEM1403" s="35"/>
      <c r="UOH1403" s="35"/>
      <c r="UOI1403" s="35"/>
      <c r="UYD1403" s="35"/>
      <c r="UYE1403" s="35"/>
      <c r="VHZ1403" s="35"/>
      <c r="VIA1403" s="35"/>
      <c r="VRV1403" s="35"/>
      <c r="VRW1403" s="35"/>
      <c r="WBR1403" s="35"/>
      <c r="WBS1403" s="35"/>
      <c r="WLN1403" s="35"/>
      <c r="WLO1403" s="35"/>
      <c r="WVJ1403" s="35"/>
      <c r="WVK1403" s="35"/>
    </row>
    <row r="1404" spans="1:771 1026:1795 2050:2819 3074:3843 4098:4867 5122:5891 6146:6915 7170:7939 8194:8963 9218:9987 10242:11011 11266:12035 12290:13059 13314:14083 14338:15107 15362:16131" s="35" customFormat="1" ht="55.2" x14ac:dyDescent="0.3">
      <c r="A1404" s="28">
        <v>133</v>
      </c>
      <c r="B1404" s="29" t="s">
        <v>1105</v>
      </c>
      <c r="C1404" s="30" t="s">
        <v>1110</v>
      </c>
      <c r="D1404" s="31" t="s">
        <v>13</v>
      </c>
      <c r="E1404" s="32">
        <v>35.9</v>
      </c>
      <c r="F1404" s="33"/>
      <c r="G1404" s="33"/>
      <c r="H1404" s="34" t="s">
        <v>1109</v>
      </c>
    </row>
    <row r="1405" spans="1:771 1026:1795 2050:2819 3074:3843 4098:4867 5122:5891 6146:6915 7170:7939 8194:8963 9218:9987 10242:11011 11266:12035 12290:13059 13314:14083 14338:15107 15362:16131" s="35" customFormat="1" x14ac:dyDescent="0.3">
      <c r="A1405" s="36"/>
      <c r="B1405" s="72" t="s">
        <v>1106</v>
      </c>
      <c r="C1405" s="38" t="s">
        <v>14</v>
      </c>
      <c r="D1405" s="39"/>
      <c r="E1405" s="44"/>
      <c r="F1405" s="40"/>
      <c r="G1405" s="41">
        <f>SUM(G1406)</f>
        <v>699296100</v>
      </c>
      <c r="H1405" s="42"/>
    </row>
    <row r="1406" spans="1:771 1026:1795 2050:2819 3074:3843 4098:4867 5122:5891 6146:6915 7170:7939 8194:8963 9218:9987 10242:11011 11266:12035 12290:13059 13314:14083 14338:15107 15362:16131" s="35" customFormat="1" ht="78" x14ac:dyDescent="0.3">
      <c r="A1406" s="36"/>
      <c r="B1406" s="72" t="s">
        <v>1107</v>
      </c>
      <c r="C1406" s="48" t="s">
        <v>38</v>
      </c>
      <c r="D1406" s="39" t="s">
        <v>13</v>
      </c>
      <c r="E1406" s="73">
        <v>35.9</v>
      </c>
      <c r="F1406" s="153">
        <v>19479000</v>
      </c>
      <c r="G1406" s="40">
        <f>E1406*F1406</f>
        <v>699296100</v>
      </c>
      <c r="H1406" s="42"/>
    </row>
    <row r="1407" spans="1:771 1026:1795 2050:2819 3074:3843 4098:4867 5122:5891 6146:6915 7170:7939 8194:8963 9218:9987 10242:11011 11266:12035 12290:13059 13314:14083 14338:15107 15362:16131" s="35" customFormat="1" x14ac:dyDescent="0.3">
      <c r="A1407" s="36"/>
      <c r="B1407" s="72" t="s">
        <v>1108</v>
      </c>
      <c r="C1407" s="47" t="s">
        <v>35</v>
      </c>
      <c r="D1407" s="39"/>
      <c r="E1407" s="73"/>
      <c r="F1407" s="40"/>
      <c r="G1407" s="41">
        <f>SUM(G1408:G1412)</f>
        <v>141971880</v>
      </c>
      <c r="H1407" s="45"/>
    </row>
    <row r="1408" spans="1:771 1026:1795 2050:2819 3074:3843 4098:4867 5122:5891 6146:6915 7170:7939 8194:8963 9218:9987 10242:11011 11266:12035 12290:13059 13314:14083 14338:15107 15362:16131" s="77" customFormat="1" ht="93.6" x14ac:dyDescent="0.3">
      <c r="A1408" s="36"/>
      <c r="B1408" s="75"/>
      <c r="C1408" s="66" t="s">
        <v>1111</v>
      </c>
      <c r="D1408" s="39" t="s">
        <v>13</v>
      </c>
      <c r="E1408" s="73">
        <v>24.805</v>
      </c>
      <c r="F1408" s="74">
        <v>3592000</v>
      </c>
      <c r="G1408" s="40">
        <f>E1408*F1408</f>
        <v>89099560</v>
      </c>
      <c r="H1408" s="45" t="s">
        <v>2375</v>
      </c>
    </row>
    <row r="1409" spans="1:771 1026:1795 2050:2819 3074:3843 4098:4867 5122:5891 6146:6915 7170:7939 8194:8963 9218:9987 10242:11011 11266:12035 12290:13059 13314:14083 14338:15107 15362:16131" s="77" customFormat="1" ht="41.4" x14ac:dyDescent="0.3">
      <c r="A1409" s="36"/>
      <c r="B1409" s="75"/>
      <c r="C1409" s="66" t="s">
        <v>1112</v>
      </c>
      <c r="D1409" s="39" t="s">
        <v>13</v>
      </c>
      <c r="E1409" s="73">
        <f>2*2.05</f>
        <v>4.0999999999999996</v>
      </c>
      <c r="F1409" s="74">
        <v>540000</v>
      </c>
      <c r="G1409" s="40">
        <f>E1409*F1409</f>
        <v>2214000</v>
      </c>
      <c r="H1409" s="45" t="s">
        <v>2484</v>
      </c>
    </row>
    <row r="1410" spans="1:771 1026:1795 2050:2819 3074:3843 4098:4867 5122:5891 6146:6915 7170:7939 8194:8963 9218:9987 10242:11011 11266:12035 12290:13059 13314:14083 14338:15107 15362:16131" s="77" customFormat="1" ht="93.6" x14ac:dyDescent="0.3">
      <c r="A1410" s="36"/>
      <c r="B1410" s="75"/>
      <c r="C1410" s="66" t="s">
        <v>1113</v>
      </c>
      <c r="D1410" s="39" t="s">
        <v>13</v>
      </c>
      <c r="E1410" s="73">
        <v>13.46</v>
      </c>
      <c r="F1410" s="74">
        <v>3592000</v>
      </c>
      <c r="G1410" s="40">
        <f>E1410*F1410</f>
        <v>48348320</v>
      </c>
      <c r="H1410" s="45" t="s">
        <v>2485</v>
      </c>
    </row>
    <row r="1411" spans="1:771 1026:1795 2050:2819 3074:3843 4098:4867 5122:5891 6146:6915 7170:7939 8194:8963 9218:9987 10242:11011 11266:12035 12290:13059 13314:14083 14338:15107 15362:16131" s="77" customFormat="1" ht="18.600000000000001" x14ac:dyDescent="0.3">
      <c r="A1411" s="36"/>
      <c r="B1411" s="75"/>
      <c r="C1411" s="66" t="s">
        <v>305</v>
      </c>
      <c r="D1411" s="39" t="s">
        <v>13</v>
      </c>
      <c r="E1411" s="73">
        <v>16.5</v>
      </c>
      <c r="F1411" s="40">
        <v>140000</v>
      </c>
      <c r="G1411" s="40">
        <f>E1411*F1411</f>
        <v>2310000</v>
      </c>
      <c r="H1411" s="45"/>
    </row>
    <row r="1412" spans="1:771 1026:1795 2050:2819 3074:3843 4098:4867 5122:5891 6146:6915 7170:7939 8194:8963 9218:9987 10242:11011 11266:12035 12290:13059 13314:14083 14338:15107 15362:16131" s="77" customFormat="1" x14ac:dyDescent="0.3">
      <c r="A1412" s="36"/>
      <c r="B1412" s="75"/>
      <c r="C1412" s="66" t="s">
        <v>105</v>
      </c>
      <c r="D1412" s="39" t="s">
        <v>106</v>
      </c>
      <c r="E1412" s="73">
        <v>1</v>
      </c>
      <c r="F1412" s="74"/>
      <c r="G1412" s="40">
        <f>E1412*F1412</f>
        <v>0</v>
      </c>
      <c r="H1412" s="52" t="s">
        <v>2353</v>
      </c>
    </row>
    <row r="1413" spans="1:771 1026:1795 2050:2819 3074:3843 4098:4867 5122:5891 6146:6915 7170:7939 8194:8963 9218:9987 10242:11011 11266:12035 12290:13059 13314:14083 14338:15107 15362:16131" s="35" customFormat="1" ht="65.400000000000006" thickBot="1" x14ac:dyDescent="0.35">
      <c r="A1413" s="53"/>
      <c r="B1413" s="54"/>
      <c r="C1413" s="55" t="s">
        <v>2331</v>
      </c>
      <c r="D1413" s="56"/>
      <c r="E1413" s="5"/>
      <c r="F1413" s="6"/>
      <c r="G1413" s="57"/>
      <c r="H1413" s="58"/>
    </row>
    <row r="1414" spans="1:771 1026:1795 2050:2819 3074:3843 4098:4867 5122:5891 6146:6915 7170:7939 8194:8963 9218:9987 10242:11011 11266:12035 12290:13059 13314:14083 14338:15107 15362:16131" s="59" customFormat="1" ht="31.8" thickBot="1" x14ac:dyDescent="0.35">
      <c r="A1414" s="154"/>
      <c r="B1414" s="155" t="s">
        <v>26</v>
      </c>
      <c r="C1414" s="156"/>
      <c r="D1414" s="154"/>
      <c r="E1414" s="157"/>
      <c r="F1414" s="158"/>
      <c r="G1414" s="159">
        <f>SUM(G1404:G1413)/2</f>
        <v>841267980</v>
      </c>
      <c r="H1414" s="160"/>
      <c r="IX1414" s="35"/>
      <c r="IY1414" s="35"/>
      <c r="ST1414" s="35"/>
      <c r="SU1414" s="35"/>
      <c r="ACP1414" s="35"/>
      <c r="ACQ1414" s="35"/>
      <c r="AML1414" s="35"/>
      <c r="AMM1414" s="35"/>
      <c r="AWH1414" s="35"/>
      <c r="AWI1414" s="35"/>
      <c r="BGD1414" s="35"/>
      <c r="BGE1414" s="35"/>
      <c r="BPZ1414" s="35"/>
      <c r="BQA1414" s="35"/>
      <c r="BZV1414" s="35"/>
      <c r="BZW1414" s="35"/>
      <c r="CJR1414" s="35"/>
      <c r="CJS1414" s="35"/>
      <c r="CTN1414" s="35"/>
      <c r="CTO1414" s="35"/>
      <c r="DDJ1414" s="35"/>
      <c r="DDK1414" s="35"/>
      <c r="DNF1414" s="35"/>
      <c r="DNG1414" s="35"/>
      <c r="DXB1414" s="35"/>
      <c r="DXC1414" s="35"/>
      <c r="EGX1414" s="35"/>
      <c r="EGY1414" s="35"/>
      <c r="EQT1414" s="35"/>
      <c r="EQU1414" s="35"/>
      <c r="FAP1414" s="35"/>
      <c r="FAQ1414" s="35"/>
      <c r="FKL1414" s="35"/>
      <c r="FKM1414" s="35"/>
      <c r="FUH1414" s="35"/>
      <c r="FUI1414" s="35"/>
      <c r="GED1414" s="35"/>
      <c r="GEE1414" s="35"/>
      <c r="GNZ1414" s="35"/>
      <c r="GOA1414" s="35"/>
      <c r="GXV1414" s="35"/>
      <c r="GXW1414" s="35"/>
      <c r="HHR1414" s="35"/>
      <c r="HHS1414" s="35"/>
      <c r="HRN1414" s="35"/>
      <c r="HRO1414" s="35"/>
      <c r="IBJ1414" s="35"/>
      <c r="IBK1414" s="35"/>
      <c r="ILF1414" s="35"/>
      <c r="ILG1414" s="35"/>
      <c r="IVB1414" s="35"/>
      <c r="IVC1414" s="35"/>
      <c r="JEX1414" s="35"/>
      <c r="JEY1414" s="35"/>
      <c r="JOT1414" s="35"/>
      <c r="JOU1414" s="35"/>
      <c r="JYP1414" s="35"/>
      <c r="JYQ1414" s="35"/>
      <c r="KIL1414" s="35"/>
      <c r="KIM1414" s="35"/>
      <c r="KSH1414" s="35"/>
      <c r="KSI1414" s="35"/>
      <c r="LCD1414" s="35"/>
      <c r="LCE1414" s="35"/>
      <c r="LLZ1414" s="35"/>
      <c r="LMA1414" s="35"/>
      <c r="LVV1414" s="35"/>
      <c r="LVW1414" s="35"/>
      <c r="MFR1414" s="35"/>
      <c r="MFS1414" s="35"/>
      <c r="MPN1414" s="35"/>
      <c r="MPO1414" s="35"/>
      <c r="MZJ1414" s="35"/>
      <c r="MZK1414" s="35"/>
      <c r="NJF1414" s="35"/>
      <c r="NJG1414" s="35"/>
      <c r="NTB1414" s="35"/>
      <c r="NTC1414" s="35"/>
      <c r="OCX1414" s="35"/>
      <c r="OCY1414" s="35"/>
      <c r="OMT1414" s="35"/>
      <c r="OMU1414" s="35"/>
      <c r="OWP1414" s="35"/>
      <c r="OWQ1414" s="35"/>
      <c r="PGL1414" s="35"/>
      <c r="PGM1414" s="35"/>
      <c r="PQH1414" s="35"/>
      <c r="PQI1414" s="35"/>
      <c r="QAD1414" s="35"/>
      <c r="QAE1414" s="35"/>
      <c r="QJZ1414" s="35"/>
      <c r="QKA1414" s="35"/>
      <c r="QTV1414" s="35"/>
      <c r="QTW1414" s="35"/>
      <c r="RDR1414" s="35"/>
      <c r="RDS1414" s="35"/>
      <c r="RNN1414" s="35"/>
      <c r="RNO1414" s="35"/>
      <c r="RXJ1414" s="35"/>
      <c r="RXK1414" s="35"/>
      <c r="SHF1414" s="35"/>
      <c r="SHG1414" s="35"/>
      <c r="SRB1414" s="35"/>
      <c r="SRC1414" s="35"/>
      <c r="TAX1414" s="35"/>
      <c r="TAY1414" s="35"/>
      <c r="TKT1414" s="35"/>
      <c r="TKU1414" s="35"/>
      <c r="TUP1414" s="35"/>
      <c r="TUQ1414" s="35"/>
      <c r="UEL1414" s="35"/>
      <c r="UEM1414" s="35"/>
      <c r="UOH1414" s="35"/>
      <c r="UOI1414" s="35"/>
      <c r="UYD1414" s="35"/>
      <c r="UYE1414" s="35"/>
      <c r="VHZ1414" s="35"/>
      <c r="VIA1414" s="35"/>
      <c r="VRV1414" s="35"/>
      <c r="VRW1414" s="35"/>
      <c r="WBR1414" s="35"/>
      <c r="WBS1414" s="35"/>
      <c r="WLN1414" s="35"/>
      <c r="WLO1414" s="35"/>
      <c r="WVJ1414" s="35"/>
      <c r="WVK1414" s="35"/>
    </row>
    <row r="1415" spans="1:771 1026:1795 2050:2819 3074:3843 4098:4867 5122:5891 6146:6915 7170:7939 8194:8963 9218:9987 10242:11011 11266:12035 12290:13059 13314:14083 14338:15107 15362:16131" s="35" customFormat="1" ht="55.2" x14ac:dyDescent="0.3">
      <c r="A1415" s="28">
        <v>134</v>
      </c>
      <c r="B1415" s="29" t="s">
        <v>1114</v>
      </c>
      <c r="C1415" s="30" t="s">
        <v>1119</v>
      </c>
      <c r="D1415" s="31" t="s">
        <v>13</v>
      </c>
      <c r="E1415" s="32">
        <v>6.7</v>
      </c>
      <c r="F1415" s="33"/>
      <c r="G1415" s="33"/>
      <c r="H1415" s="34" t="s">
        <v>1118</v>
      </c>
    </row>
    <row r="1416" spans="1:771 1026:1795 2050:2819 3074:3843 4098:4867 5122:5891 6146:6915 7170:7939 8194:8963 9218:9987 10242:11011 11266:12035 12290:13059 13314:14083 14338:15107 15362:16131" s="35" customFormat="1" x14ac:dyDescent="0.3">
      <c r="A1416" s="36"/>
      <c r="B1416" s="72" t="s">
        <v>1115</v>
      </c>
      <c r="C1416" s="38" t="s">
        <v>14</v>
      </c>
      <c r="D1416" s="39"/>
      <c r="E1416" s="44"/>
      <c r="F1416" s="40"/>
      <c r="G1416" s="41">
        <f>SUM(G1417)</f>
        <v>69706800</v>
      </c>
      <c r="H1416" s="42"/>
    </row>
    <row r="1417" spans="1:771 1026:1795 2050:2819 3074:3843 4098:4867 5122:5891 6146:6915 7170:7939 8194:8963 9218:9987 10242:11011 11266:12035 12290:13059 13314:14083 14338:15107 15362:16131" s="35" customFormat="1" ht="78" x14ac:dyDescent="0.3">
      <c r="A1417" s="36"/>
      <c r="B1417" s="72" t="s">
        <v>1116</v>
      </c>
      <c r="C1417" s="48" t="s">
        <v>55</v>
      </c>
      <c r="D1417" s="39" t="s">
        <v>13</v>
      </c>
      <c r="E1417" s="73">
        <v>6.7</v>
      </c>
      <c r="F1417" s="153">
        <v>10404000</v>
      </c>
      <c r="G1417" s="40">
        <f>E1417*F1417</f>
        <v>69706800</v>
      </c>
      <c r="H1417" s="42"/>
    </row>
    <row r="1418" spans="1:771 1026:1795 2050:2819 3074:3843 4098:4867 5122:5891 6146:6915 7170:7939 8194:8963 9218:9987 10242:11011 11266:12035 12290:13059 13314:14083 14338:15107 15362:16131" s="35" customFormat="1" x14ac:dyDescent="0.3">
      <c r="A1418" s="36"/>
      <c r="B1418" s="72" t="s">
        <v>1117</v>
      </c>
      <c r="C1418" s="47" t="s">
        <v>35</v>
      </c>
      <c r="D1418" s="39"/>
      <c r="E1418" s="73"/>
      <c r="F1418" s="40"/>
      <c r="G1418" s="41">
        <f>SUM(G1419:G1422)</f>
        <v>8359851</v>
      </c>
      <c r="H1418" s="45"/>
    </row>
    <row r="1419" spans="1:771 1026:1795 2050:2819 3074:3843 4098:4867 5122:5891 6146:6915 7170:7939 8194:8963 9218:9987 10242:11011 11266:12035 12290:13059 13314:14083 14338:15107 15362:16131" s="77" customFormat="1" ht="55.2" x14ac:dyDescent="0.3">
      <c r="A1419" s="36"/>
      <c r="B1419" s="75"/>
      <c r="C1419" s="66" t="s">
        <v>1120</v>
      </c>
      <c r="D1419" s="39" t="s">
        <v>13</v>
      </c>
      <c r="E1419" s="73">
        <f>2*4.5</f>
        <v>9</v>
      </c>
      <c r="F1419" s="74"/>
      <c r="G1419" s="40">
        <f>E1419*F1419</f>
        <v>0</v>
      </c>
      <c r="H1419" s="45" t="s">
        <v>2486</v>
      </c>
    </row>
    <row r="1420" spans="1:771 1026:1795 2050:2819 3074:3843 4098:4867 5122:5891 6146:6915 7170:7939 8194:8963 9218:9987 10242:11011 11266:12035 12290:13059 13314:14083 14338:15107 15362:16131" s="77" customFormat="1" ht="18.600000000000001" x14ac:dyDescent="0.3">
      <c r="A1420" s="36"/>
      <c r="B1420" s="75"/>
      <c r="C1420" s="66" t="s">
        <v>1121</v>
      </c>
      <c r="D1420" s="39" t="s">
        <v>13</v>
      </c>
      <c r="E1420" s="73">
        <f>3.9*1.6</f>
        <v>6.24</v>
      </c>
      <c r="F1420" s="74">
        <v>1032000</v>
      </c>
      <c r="G1420" s="40">
        <f>E1420*F1420</f>
        <v>6439680</v>
      </c>
      <c r="H1420" s="45"/>
    </row>
    <row r="1421" spans="1:771 1026:1795 2050:2819 3074:3843 4098:4867 5122:5891 6146:6915 7170:7939 8194:8963 9218:9987 10242:11011 11266:12035 12290:13059 13314:14083 14338:15107 15362:16131" s="77" customFormat="1" ht="18.600000000000001" x14ac:dyDescent="0.3">
      <c r="A1421" s="36"/>
      <c r="B1421" s="75"/>
      <c r="C1421" s="66" t="s">
        <v>189</v>
      </c>
      <c r="D1421" s="39" t="s">
        <v>128</v>
      </c>
      <c r="E1421" s="73">
        <f>2.1*3.1*0.1</f>
        <v>0.65100000000000013</v>
      </c>
      <c r="F1421" s="40">
        <v>1421000</v>
      </c>
      <c r="G1421" s="40">
        <f>E1421*F1421</f>
        <v>925071.00000000023</v>
      </c>
      <c r="H1421" s="45"/>
    </row>
    <row r="1422" spans="1:771 1026:1795 2050:2819 3074:3843 4098:4867 5122:5891 6146:6915 7170:7939 8194:8963 9218:9987 10242:11011 11266:12035 12290:13059 13314:14083 14338:15107 15362:16131" s="77" customFormat="1" ht="18.600000000000001" x14ac:dyDescent="0.3">
      <c r="A1422" s="36"/>
      <c r="B1422" s="75"/>
      <c r="C1422" s="66" t="s">
        <v>190</v>
      </c>
      <c r="D1422" s="39" t="s">
        <v>13</v>
      </c>
      <c r="E1422" s="73">
        <f>(0.9*3.1)+(2.1*3.1)</f>
        <v>9.3000000000000007</v>
      </c>
      <c r="F1422" s="74">
        <v>107000</v>
      </c>
      <c r="G1422" s="40">
        <f>E1422*F1422</f>
        <v>995100.00000000012</v>
      </c>
      <c r="H1422" s="45"/>
    </row>
    <row r="1423" spans="1:771 1026:1795 2050:2819 3074:3843 4098:4867 5122:5891 6146:6915 7170:7939 8194:8963 9218:9987 10242:11011 11266:12035 12290:13059 13314:14083 14338:15107 15362:16131" s="35" customFormat="1" x14ac:dyDescent="0.3">
      <c r="A1423" s="36"/>
      <c r="B1423" s="46"/>
      <c r="C1423" s="51" t="s">
        <v>23</v>
      </c>
      <c r="D1423" s="39"/>
      <c r="E1423" s="1"/>
      <c r="F1423" s="2"/>
      <c r="G1423" s="41">
        <f>SUM(G1424)</f>
        <v>3060000</v>
      </c>
      <c r="H1423" s="52"/>
    </row>
    <row r="1424" spans="1:771 1026:1795 2050:2819 3074:3843 4098:4867 5122:5891 6146:6915 7170:7939 8194:8963 9218:9987 10242:11011 11266:12035 12290:13059 13314:14083 14338:15107 15362:16131" s="35" customFormat="1" x14ac:dyDescent="0.3">
      <c r="A1424" s="36"/>
      <c r="B1424" s="46"/>
      <c r="C1424" s="50" t="s">
        <v>24</v>
      </c>
      <c r="D1424" s="39" t="s">
        <v>25</v>
      </c>
      <c r="E1424" s="1">
        <f>1*30*6</f>
        <v>180</v>
      </c>
      <c r="F1424" s="2">
        <v>17000</v>
      </c>
      <c r="G1424" s="40">
        <f>E1424*F1424</f>
        <v>3060000</v>
      </c>
      <c r="H1424" s="42"/>
    </row>
    <row r="1425" spans="1:771 1026:1795 2050:2819 3074:3843 4098:4867 5122:5891 6146:6915 7170:7939 8194:8963 9218:9987 10242:11011 11266:12035 12290:13059 13314:14083 14338:15107 15362:16131" s="35" customFormat="1" ht="65.400000000000006" thickBot="1" x14ac:dyDescent="0.35">
      <c r="A1425" s="53"/>
      <c r="B1425" s="54"/>
      <c r="C1425" s="55" t="s">
        <v>2331</v>
      </c>
      <c r="D1425" s="56"/>
      <c r="E1425" s="5"/>
      <c r="F1425" s="6"/>
      <c r="G1425" s="57"/>
      <c r="H1425" s="58"/>
    </row>
    <row r="1426" spans="1:771 1026:1795 2050:2819 3074:3843 4098:4867 5122:5891 6146:6915 7170:7939 8194:8963 9218:9987 10242:11011 11266:12035 12290:13059 13314:14083 14338:15107 15362:16131" s="59" customFormat="1" ht="31.8" thickBot="1" x14ac:dyDescent="0.35">
      <c r="A1426" s="154"/>
      <c r="B1426" s="155" t="s">
        <v>26</v>
      </c>
      <c r="C1426" s="156"/>
      <c r="D1426" s="154"/>
      <c r="E1426" s="157"/>
      <c r="F1426" s="158"/>
      <c r="G1426" s="159">
        <f>SUM(G1415:G1425)/2</f>
        <v>81126651</v>
      </c>
      <c r="H1426" s="160"/>
      <c r="IX1426" s="35"/>
      <c r="IY1426" s="35"/>
      <c r="ST1426" s="35"/>
      <c r="SU1426" s="35"/>
      <c r="ACP1426" s="35"/>
      <c r="ACQ1426" s="35"/>
      <c r="AML1426" s="35"/>
      <c r="AMM1426" s="35"/>
      <c r="AWH1426" s="35"/>
      <c r="AWI1426" s="35"/>
      <c r="BGD1426" s="35"/>
      <c r="BGE1426" s="35"/>
      <c r="BPZ1426" s="35"/>
      <c r="BQA1426" s="35"/>
      <c r="BZV1426" s="35"/>
      <c r="BZW1426" s="35"/>
      <c r="CJR1426" s="35"/>
      <c r="CJS1426" s="35"/>
      <c r="CTN1426" s="35"/>
      <c r="CTO1426" s="35"/>
      <c r="DDJ1426" s="35"/>
      <c r="DDK1426" s="35"/>
      <c r="DNF1426" s="35"/>
      <c r="DNG1426" s="35"/>
      <c r="DXB1426" s="35"/>
      <c r="DXC1426" s="35"/>
      <c r="EGX1426" s="35"/>
      <c r="EGY1426" s="35"/>
      <c r="EQT1426" s="35"/>
      <c r="EQU1426" s="35"/>
      <c r="FAP1426" s="35"/>
      <c r="FAQ1426" s="35"/>
      <c r="FKL1426" s="35"/>
      <c r="FKM1426" s="35"/>
      <c r="FUH1426" s="35"/>
      <c r="FUI1426" s="35"/>
      <c r="GED1426" s="35"/>
      <c r="GEE1426" s="35"/>
      <c r="GNZ1426" s="35"/>
      <c r="GOA1426" s="35"/>
      <c r="GXV1426" s="35"/>
      <c r="GXW1426" s="35"/>
      <c r="HHR1426" s="35"/>
      <c r="HHS1426" s="35"/>
      <c r="HRN1426" s="35"/>
      <c r="HRO1426" s="35"/>
      <c r="IBJ1426" s="35"/>
      <c r="IBK1426" s="35"/>
      <c r="ILF1426" s="35"/>
      <c r="ILG1426" s="35"/>
      <c r="IVB1426" s="35"/>
      <c r="IVC1426" s="35"/>
      <c r="JEX1426" s="35"/>
      <c r="JEY1426" s="35"/>
      <c r="JOT1426" s="35"/>
      <c r="JOU1426" s="35"/>
      <c r="JYP1426" s="35"/>
      <c r="JYQ1426" s="35"/>
      <c r="KIL1426" s="35"/>
      <c r="KIM1426" s="35"/>
      <c r="KSH1426" s="35"/>
      <c r="KSI1426" s="35"/>
      <c r="LCD1426" s="35"/>
      <c r="LCE1426" s="35"/>
      <c r="LLZ1426" s="35"/>
      <c r="LMA1426" s="35"/>
      <c r="LVV1426" s="35"/>
      <c r="LVW1426" s="35"/>
      <c r="MFR1426" s="35"/>
      <c r="MFS1426" s="35"/>
      <c r="MPN1426" s="35"/>
      <c r="MPO1426" s="35"/>
      <c r="MZJ1426" s="35"/>
      <c r="MZK1426" s="35"/>
      <c r="NJF1426" s="35"/>
      <c r="NJG1426" s="35"/>
      <c r="NTB1426" s="35"/>
      <c r="NTC1426" s="35"/>
      <c r="OCX1426" s="35"/>
      <c r="OCY1426" s="35"/>
      <c r="OMT1426" s="35"/>
      <c r="OMU1426" s="35"/>
      <c r="OWP1426" s="35"/>
      <c r="OWQ1426" s="35"/>
      <c r="PGL1426" s="35"/>
      <c r="PGM1426" s="35"/>
      <c r="PQH1426" s="35"/>
      <c r="PQI1426" s="35"/>
      <c r="QAD1426" s="35"/>
      <c r="QAE1426" s="35"/>
      <c r="QJZ1426" s="35"/>
      <c r="QKA1426" s="35"/>
      <c r="QTV1426" s="35"/>
      <c r="QTW1426" s="35"/>
      <c r="RDR1426" s="35"/>
      <c r="RDS1426" s="35"/>
      <c r="RNN1426" s="35"/>
      <c r="RNO1426" s="35"/>
      <c r="RXJ1426" s="35"/>
      <c r="RXK1426" s="35"/>
      <c r="SHF1426" s="35"/>
      <c r="SHG1426" s="35"/>
      <c r="SRB1426" s="35"/>
      <c r="SRC1426" s="35"/>
      <c r="TAX1426" s="35"/>
      <c r="TAY1426" s="35"/>
      <c r="TKT1426" s="35"/>
      <c r="TKU1426" s="35"/>
      <c r="TUP1426" s="35"/>
      <c r="TUQ1426" s="35"/>
      <c r="UEL1426" s="35"/>
      <c r="UEM1426" s="35"/>
      <c r="UOH1426" s="35"/>
      <c r="UOI1426" s="35"/>
      <c r="UYD1426" s="35"/>
      <c r="UYE1426" s="35"/>
      <c r="VHZ1426" s="35"/>
      <c r="VIA1426" s="35"/>
      <c r="VRV1426" s="35"/>
      <c r="VRW1426" s="35"/>
      <c r="WBR1426" s="35"/>
      <c r="WBS1426" s="35"/>
      <c r="WLN1426" s="35"/>
      <c r="WLO1426" s="35"/>
      <c r="WVJ1426" s="35"/>
      <c r="WVK1426" s="35"/>
    </row>
    <row r="1427" spans="1:771 1026:1795 2050:2819 3074:3843 4098:4867 5122:5891 6146:6915 7170:7939 8194:8963 9218:9987 10242:11011 11266:12035 12290:13059 13314:14083 14338:15107 15362:16131" s="35" customFormat="1" ht="55.2" x14ac:dyDescent="0.3">
      <c r="A1427" s="28">
        <v>135</v>
      </c>
      <c r="B1427" s="29" t="s">
        <v>1125</v>
      </c>
      <c r="C1427" s="30" t="s">
        <v>1129</v>
      </c>
      <c r="D1427" s="31" t="s">
        <v>13</v>
      </c>
      <c r="E1427" s="32">
        <v>10.9</v>
      </c>
      <c r="F1427" s="33"/>
      <c r="G1427" s="33"/>
      <c r="H1427" s="34" t="s">
        <v>1130</v>
      </c>
    </row>
    <row r="1428" spans="1:771 1026:1795 2050:2819 3074:3843 4098:4867 5122:5891 6146:6915 7170:7939 8194:8963 9218:9987 10242:11011 11266:12035 12290:13059 13314:14083 14338:15107 15362:16131" s="35" customFormat="1" x14ac:dyDescent="0.3">
      <c r="A1428" s="36"/>
      <c r="B1428" s="72" t="s">
        <v>1126</v>
      </c>
      <c r="C1428" s="38" t="s">
        <v>14</v>
      </c>
      <c r="D1428" s="39"/>
      <c r="E1428" s="44"/>
      <c r="F1428" s="40"/>
      <c r="G1428" s="41">
        <f>SUM(G1429)</f>
        <v>212321100</v>
      </c>
      <c r="H1428" s="42"/>
    </row>
    <row r="1429" spans="1:771 1026:1795 2050:2819 3074:3843 4098:4867 5122:5891 6146:6915 7170:7939 8194:8963 9218:9987 10242:11011 11266:12035 12290:13059 13314:14083 14338:15107 15362:16131" s="35" customFormat="1" ht="31.2" x14ac:dyDescent="0.3">
      <c r="A1429" s="36"/>
      <c r="B1429" s="72" t="s">
        <v>1128</v>
      </c>
      <c r="C1429" s="48" t="s">
        <v>38</v>
      </c>
      <c r="D1429" s="39" t="s">
        <v>13</v>
      </c>
      <c r="E1429" s="73">
        <v>10.9</v>
      </c>
      <c r="F1429" s="161">
        <v>19479000</v>
      </c>
      <c r="G1429" s="40">
        <f>E1429*F1429</f>
        <v>212321100</v>
      </c>
      <c r="H1429" s="42"/>
    </row>
    <row r="1430" spans="1:771 1026:1795 2050:2819 3074:3843 4098:4867 5122:5891 6146:6915 7170:7939 8194:8963 9218:9987 10242:11011 11266:12035 12290:13059 13314:14083 14338:15107 15362:16131" s="35" customFormat="1" x14ac:dyDescent="0.3">
      <c r="A1430" s="36"/>
      <c r="B1430" s="72" t="s">
        <v>1127</v>
      </c>
      <c r="C1430" s="47" t="s">
        <v>35</v>
      </c>
      <c r="D1430" s="39"/>
      <c r="E1430" s="73"/>
      <c r="F1430" s="40"/>
      <c r="G1430" s="41">
        <f>SUM(G1431:G1432)</f>
        <v>2268000</v>
      </c>
      <c r="H1430" s="45"/>
    </row>
    <row r="1431" spans="1:771 1026:1795 2050:2819 3074:3843 4098:4867 5122:5891 6146:6915 7170:7939 8194:8963 9218:9987 10242:11011 11266:12035 12290:13059 13314:14083 14338:15107 15362:16131" s="77" customFormat="1" ht="46.8" x14ac:dyDescent="0.3">
      <c r="A1431" s="36"/>
      <c r="B1431" s="75"/>
      <c r="C1431" s="66" t="s">
        <v>1131</v>
      </c>
      <c r="D1431" s="39" t="s">
        <v>13</v>
      </c>
      <c r="E1431" s="73">
        <f>((4.7+5.8)*2)/2</f>
        <v>10.5</v>
      </c>
      <c r="F1431" s="74">
        <f>540000*40%</f>
        <v>216000</v>
      </c>
      <c r="G1431" s="40">
        <f>E1431*F1431</f>
        <v>2268000</v>
      </c>
      <c r="H1431" s="35" t="s">
        <v>2374</v>
      </c>
    </row>
    <row r="1432" spans="1:771 1026:1795 2050:2819 3074:3843 4098:4867 5122:5891 6146:6915 7170:7939 8194:8963 9218:9987 10242:11011 11266:12035 12290:13059 13314:14083 14338:15107 15362:16131" s="35" customFormat="1" ht="65.400000000000006" thickBot="1" x14ac:dyDescent="0.35">
      <c r="A1432" s="53"/>
      <c r="B1432" s="54"/>
      <c r="C1432" s="55" t="s">
        <v>2331</v>
      </c>
      <c r="D1432" s="56"/>
      <c r="E1432" s="5"/>
      <c r="F1432" s="6"/>
      <c r="G1432" s="57"/>
      <c r="H1432" s="58"/>
    </row>
    <row r="1433" spans="1:771 1026:1795 2050:2819 3074:3843 4098:4867 5122:5891 6146:6915 7170:7939 8194:8963 9218:9987 10242:11011 11266:12035 12290:13059 13314:14083 14338:15107 15362:16131" s="59" customFormat="1" ht="31.8" thickBot="1" x14ac:dyDescent="0.35">
      <c r="A1433" s="154"/>
      <c r="B1433" s="155" t="s">
        <v>26</v>
      </c>
      <c r="C1433" s="156"/>
      <c r="D1433" s="154"/>
      <c r="E1433" s="157"/>
      <c r="F1433" s="158"/>
      <c r="G1433" s="159">
        <f>SUM(G1427:G1432)/2</f>
        <v>214589100</v>
      </c>
      <c r="H1433" s="160"/>
      <c r="IX1433" s="35"/>
      <c r="IY1433" s="35"/>
      <c r="ST1433" s="35"/>
      <c r="SU1433" s="35"/>
      <c r="ACP1433" s="35"/>
      <c r="ACQ1433" s="35"/>
      <c r="AML1433" s="35"/>
      <c r="AMM1433" s="35"/>
      <c r="AWH1433" s="35"/>
      <c r="AWI1433" s="35"/>
      <c r="BGD1433" s="35"/>
      <c r="BGE1433" s="35"/>
      <c r="BPZ1433" s="35"/>
      <c r="BQA1433" s="35"/>
      <c r="BZV1433" s="35"/>
      <c r="BZW1433" s="35"/>
      <c r="CJR1433" s="35"/>
      <c r="CJS1433" s="35"/>
      <c r="CTN1433" s="35"/>
      <c r="CTO1433" s="35"/>
      <c r="DDJ1433" s="35"/>
      <c r="DDK1433" s="35"/>
      <c r="DNF1433" s="35"/>
      <c r="DNG1433" s="35"/>
      <c r="DXB1433" s="35"/>
      <c r="DXC1433" s="35"/>
      <c r="EGX1433" s="35"/>
      <c r="EGY1433" s="35"/>
      <c r="EQT1433" s="35"/>
      <c r="EQU1433" s="35"/>
      <c r="FAP1433" s="35"/>
      <c r="FAQ1433" s="35"/>
      <c r="FKL1433" s="35"/>
      <c r="FKM1433" s="35"/>
      <c r="FUH1433" s="35"/>
      <c r="FUI1433" s="35"/>
      <c r="GED1433" s="35"/>
      <c r="GEE1433" s="35"/>
      <c r="GNZ1433" s="35"/>
      <c r="GOA1433" s="35"/>
      <c r="GXV1433" s="35"/>
      <c r="GXW1433" s="35"/>
      <c r="HHR1433" s="35"/>
      <c r="HHS1433" s="35"/>
      <c r="HRN1433" s="35"/>
      <c r="HRO1433" s="35"/>
      <c r="IBJ1433" s="35"/>
      <c r="IBK1433" s="35"/>
      <c r="ILF1433" s="35"/>
      <c r="ILG1433" s="35"/>
      <c r="IVB1433" s="35"/>
      <c r="IVC1433" s="35"/>
      <c r="JEX1433" s="35"/>
      <c r="JEY1433" s="35"/>
      <c r="JOT1433" s="35"/>
      <c r="JOU1433" s="35"/>
      <c r="JYP1433" s="35"/>
      <c r="JYQ1433" s="35"/>
      <c r="KIL1433" s="35"/>
      <c r="KIM1433" s="35"/>
      <c r="KSH1433" s="35"/>
      <c r="KSI1433" s="35"/>
      <c r="LCD1433" s="35"/>
      <c r="LCE1433" s="35"/>
      <c r="LLZ1433" s="35"/>
      <c r="LMA1433" s="35"/>
      <c r="LVV1433" s="35"/>
      <c r="LVW1433" s="35"/>
      <c r="MFR1433" s="35"/>
      <c r="MFS1433" s="35"/>
      <c r="MPN1433" s="35"/>
      <c r="MPO1433" s="35"/>
      <c r="MZJ1433" s="35"/>
      <c r="MZK1433" s="35"/>
      <c r="NJF1433" s="35"/>
      <c r="NJG1433" s="35"/>
      <c r="NTB1433" s="35"/>
      <c r="NTC1433" s="35"/>
      <c r="OCX1433" s="35"/>
      <c r="OCY1433" s="35"/>
      <c r="OMT1433" s="35"/>
      <c r="OMU1433" s="35"/>
      <c r="OWP1433" s="35"/>
      <c r="OWQ1433" s="35"/>
      <c r="PGL1433" s="35"/>
      <c r="PGM1433" s="35"/>
      <c r="PQH1433" s="35"/>
      <c r="PQI1433" s="35"/>
      <c r="QAD1433" s="35"/>
      <c r="QAE1433" s="35"/>
      <c r="QJZ1433" s="35"/>
      <c r="QKA1433" s="35"/>
      <c r="QTV1433" s="35"/>
      <c r="QTW1433" s="35"/>
      <c r="RDR1433" s="35"/>
      <c r="RDS1433" s="35"/>
      <c r="RNN1433" s="35"/>
      <c r="RNO1433" s="35"/>
      <c r="RXJ1433" s="35"/>
      <c r="RXK1433" s="35"/>
      <c r="SHF1433" s="35"/>
      <c r="SHG1433" s="35"/>
      <c r="SRB1433" s="35"/>
      <c r="SRC1433" s="35"/>
      <c r="TAX1433" s="35"/>
      <c r="TAY1433" s="35"/>
      <c r="TKT1433" s="35"/>
      <c r="TKU1433" s="35"/>
      <c r="TUP1433" s="35"/>
      <c r="TUQ1433" s="35"/>
      <c r="UEL1433" s="35"/>
      <c r="UEM1433" s="35"/>
      <c r="UOH1433" s="35"/>
      <c r="UOI1433" s="35"/>
      <c r="UYD1433" s="35"/>
      <c r="UYE1433" s="35"/>
      <c r="VHZ1433" s="35"/>
      <c r="VIA1433" s="35"/>
      <c r="VRV1433" s="35"/>
      <c r="VRW1433" s="35"/>
      <c r="WBR1433" s="35"/>
      <c r="WBS1433" s="35"/>
      <c r="WLN1433" s="35"/>
      <c r="WLO1433" s="35"/>
      <c r="WVJ1433" s="35"/>
      <c r="WVK1433" s="35"/>
    </row>
    <row r="1434" spans="1:771 1026:1795 2050:2819 3074:3843 4098:4867 5122:5891 6146:6915 7170:7939 8194:8963 9218:9987 10242:11011 11266:12035 12290:13059 13314:14083 14338:15107 15362:16131" s="35" customFormat="1" ht="55.2" x14ac:dyDescent="0.3">
      <c r="A1434" s="28">
        <v>136</v>
      </c>
      <c r="B1434" s="29" t="s">
        <v>1136</v>
      </c>
      <c r="C1434" s="30" t="s">
        <v>1139</v>
      </c>
      <c r="D1434" s="31" t="s">
        <v>13</v>
      </c>
      <c r="E1434" s="32">
        <v>12.6</v>
      </c>
      <c r="F1434" s="33"/>
      <c r="G1434" s="33"/>
      <c r="H1434" s="34" t="s">
        <v>1140</v>
      </c>
    </row>
    <row r="1435" spans="1:771 1026:1795 2050:2819 3074:3843 4098:4867 5122:5891 6146:6915 7170:7939 8194:8963 9218:9987 10242:11011 11266:12035 12290:13059 13314:14083 14338:15107 15362:16131" s="35" customFormat="1" x14ac:dyDescent="0.3">
      <c r="A1435" s="36"/>
      <c r="B1435" s="72" t="s">
        <v>1137</v>
      </c>
      <c r="C1435" s="38" t="s">
        <v>14</v>
      </c>
      <c r="D1435" s="39"/>
      <c r="E1435" s="44"/>
      <c r="F1435" s="40"/>
      <c r="G1435" s="41">
        <f>SUM(G1436)</f>
        <v>245435400</v>
      </c>
      <c r="H1435" s="42"/>
    </row>
    <row r="1436" spans="1:771 1026:1795 2050:2819 3074:3843 4098:4867 5122:5891 6146:6915 7170:7939 8194:8963 9218:9987 10242:11011 11266:12035 12290:13059 13314:14083 14338:15107 15362:16131" s="35" customFormat="1" ht="78" x14ac:dyDescent="0.3">
      <c r="A1436" s="36"/>
      <c r="B1436" s="72" t="s">
        <v>1138</v>
      </c>
      <c r="C1436" s="48" t="s">
        <v>38</v>
      </c>
      <c r="D1436" s="39" t="s">
        <v>13</v>
      </c>
      <c r="E1436" s="73">
        <v>12.6</v>
      </c>
      <c r="F1436" s="161">
        <v>19479000</v>
      </c>
      <c r="G1436" s="40">
        <f>E1436*F1436</f>
        <v>245435400</v>
      </c>
      <c r="H1436" s="42"/>
    </row>
    <row r="1437" spans="1:771 1026:1795 2050:2819 3074:3843 4098:4867 5122:5891 6146:6915 7170:7939 8194:8963 9218:9987 10242:11011 11266:12035 12290:13059 13314:14083 14338:15107 15362:16131" s="35" customFormat="1" x14ac:dyDescent="0.3">
      <c r="A1437" s="36"/>
      <c r="B1437" s="50"/>
      <c r="C1437" s="47" t="s">
        <v>35</v>
      </c>
      <c r="D1437" s="39"/>
      <c r="E1437" s="73"/>
      <c r="F1437" s="40"/>
      <c r="G1437" s="41">
        <f>SUM(G1438:G1441)</f>
        <v>2386450</v>
      </c>
      <c r="H1437" s="45"/>
    </row>
    <row r="1438" spans="1:771 1026:1795 2050:2819 3074:3843 4098:4867 5122:5891 6146:6915 7170:7939 8194:8963 9218:9987 10242:11011 11266:12035 12290:13059 13314:14083 14338:15107 15362:16131" s="77" customFormat="1" ht="41.4" x14ac:dyDescent="0.3">
      <c r="A1438" s="36"/>
      <c r="B1438" s="75"/>
      <c r="C1438" s="66" t="s">
        <v>1141</v>
      </c>
      <c r="D1438" s="39" t="s">
        <v>13</v>
      </c>
      <c r="E1438" s="73">
        <v>0.68</v>
      </c>
      <c r="F1438" s="74">
        <v>540000</v>
      </c>
      <c r="G1438" s="40">
        <f>E1438*F1438</f>
        <v>367200</v>
      </c>
      <c r="H1438" s="45" t="s">
        <v>2487</v>
      </c>
    </row>
    <row r="1439" spans="1:771 1026:1795 2050:2819 3074:3843 4098:4867 5122:5891 6146:6915 7170:7939 8194:8963 9218:9987 10242:11011 11266:12035 12290:13059 13314:14083 14338:15107 15362:16131" s="77" customFormat="1" ht="41.4" x14ac:dyDescent="0.3">
      <c r="A1439" s="36"/>
      <c r="B1439" s="75"/>
      <c r="C1439" s="66" t="s">
        <v>1142</v>
      </c>
      <c r="D1439" s="39" t="s">
        <v>13</v>
      </c>
      <c r="E1439" s="73">
        <v>2.0499999999999998</v>
      </c>
      <c r="F1439" s="74">
        <v>789000</v>
      </c>
      <c r="G1439" s="40">
        <f>E1439*F1439</f>
        <v>1617449.9999999998</v>
      </c>
      <c r="H1439" s="45" t="s">
        <v>2488</v>
      </c>
    </row>
    <row r="1440" spans="1:771 1026:1795 2050:2819 3074:3843 4098:4867 5122:5891 6146:6915 7170:7939 8194:8963 9218:9987 10242:11011 11266:12035 12290:13059 13314:14083 14338:15107 15362:16131" s="77" customFormat="1" ht="18.600000000000001" x14ac:dyDescent="0.3">
      <c r="A1440" s="36"/>
      <c r="B1440" s="75"/>
      <c r="C1440" s="66" t="s">
        <v>18</v>
      </c>
      <c r="D1440" s="39" t="s">
        <v>13</v>
      </c>
      <c r="E1440" s="73">
        <v>9.8000000000000007</v>
      </c>
      <c r="F1440" s="40">
        <v>41000</v>
      </c>
      <c r="G1440" s="40">
        <f>E1440*F1440</f>
        <v>401800.00000000006</v>
      </c>
      <c r="H1440" s="45"/>
    </row>
    <row r="1441" spans="1:771 1026:1795 2050:2819 3074:3843 4098:4867 5122:5891 6146:6915 7170:7939 8194:8963 9218:9987 10242:11011 11266:12035 12290:13059 13314:14083 14338:15107 15362:16131" s="77" customFormat="1" x14ac:dyDescent="0.3">
      <c r="A1441" s="36"/>
      <c r="B1441" s="75"/>
      <c r="C1441" s="66" t="s">
        <v>105</v>
      </c>
      <c r="D1441" s="39" t="s">
        <v>106</v>
      </c>
      <c r="E1441" s="73">
        <v>1</v>
      </c>
      <c r="F1441" s="74"/>
      <c r="G1441" s="40">
        <f>E1441*F1441</f>
        <v>0</v>
      </c>
      <c r="H1441" s="52" t="s">
        <v>2353</v>
      </c>
    </row>
    <row r="1442" spans="1:771 1026:1795 2050:2819 3074:3843 4098:4867 5122:5891 6146:6915 7170:7939 8194:8963 9218:9987 10242:11011 11266:12035 12290:13059 13314:14083 14338:15107 15362:16131" s="35" customFormat="1" ht="65.400000000000006" thickBot="1" x14ac:dyDescent="0.35">
      <c r="A1442" s="53"/>
      <c r="B1442" s="54"/>
      <c r="C1442" s="55" t="s">
        <v>2331</v>
      </c>
      <c r="D1442" s="56"/>
      <c r="E1442" s="5"/>
      <c r="F1442" s="6"/>
      <c r="G1442" s="57"/>
      <c r="H1442" s="58"/>
    </row>
    <row r="1443" spans="1:771 1026:1795 2050:2819 3074:3843 4098:4867 5122:5891 6146:6915 7170:7939 8194:8963 9218:9987 10242:11011 11266:12035 12290:13059 13314:14083 14338:15107 15362:16131" s="59" customFormat="1" ht="31.8" thickBot="1" x14ac:dyDescent="0.35">
      <c r="A1443" s="154"/>
      <c r="B1443" s="155" t="s">
        <v>26</v>
      </c>
      <c r="C1443" s="156"/>
      <c r="D1443" s="154"/>
      <c r="E1443" s="157"/>
      <c r="F1443" s="158"/>
      <c r="G1443" s="159">
        <f>SUM(G1434:G1442)/2</f>
        <v>247821850</v>
      </c>
      <c r="H1443" s="160"/>
      <c r="IX1443" s="35"/>
      <c r="IY1443" s="35"/>
      <c r="ST1443" s="35"/>
      <c r="SU1443" s="35"/>
      <c r="ACP1443" s="35"/>
      <c r="ACQ1443" s="35"/>
      <c r="AML1443" s="35"/>
      <c r="AMM1443" s="35"/>
      <c r="AWH1443" s="35"/>
      <c r="AWI1443" s="35"/>
      <c r="BGD1443" s="35"/>
      <c r="BGE1443" s="35"/>
      <c r="BPZ1443" s="35"/>
      <c r="BQA1443" s="35"/>
      <c r="BZV1443" s="35"/>
      <c r="BZW1443" s="35"/>
      <c r="CJR1443" s="35"/>
      <c r="CJS1443" s="35"/>
      <c r="CTN1443" s="35"/>
      <c r="CTO1443" s="35"/>
      <c r="DDJ1443" s="35"/>
      <c r="DDK1443" s="35"/>
      <c r="DNF1443" s="35"/>
      <c r="DNG1443" s="35"/>
      <c r="DXB1443" s="35"/>
      <c r="DXC1443" s="35"/>
      <c r="EGX1443" s="35"/>
      <c r="EGY1443" s="35"/>
      <c r="EQT1443" s="35"/>
      <c r="EQU1443" s="35"/>
      <c r="FAP1443" s="35"/>
      <c r="FAQ1443" s="35"/>
      <c r="FKL1443" s="35"/>
      <c r="FKM1443" s="35"/>
      <c r="FUH1443" s="35"/>
      <c r="FUI1443" s="35"/>
      <c r="GED1443" s="35"/>
      <c r="GEE1443" s="35"/>
      <c r="GNZ1443" s="35"/>
      <c r="GOA1443" s="35"/>
      <c r="GXV1443" s="35"/>
      <c r="GXW1443" s="35"/>
      <c r="HHR1443" s="35"/>
      <c r="HHS1443" s="35"/>
      <c r="HRN1443" s="35"/>
      <c r="HRO1443" s="35"/>
      <c r="IBJ1443" s="35"/>
      <c r="IBK1443" s="35"/>
      <c r="ILF1443" s="35"/>
      <c r="ILG1443" s="35"/>
      <c r="IVB1443" s="35"/>
      <c r="IVC1443" s="35"/>
      <c r="JEX1443" s="35"/>
      <c r="JEY1443" s="35"/>
      <c r="JOT1443" s="35"/>
      <c r="JOU1443" s="35"/>
      <c r="JYP1443" s="35"/>
      <c r="JYQ1443" s="35"/>
      <c r="KIL1443" s="35"/>
      <c r="KIM1443" s="35"/>
      <c r="KSH1443" s="35"/>
      <c r="KSI1443" s="35"/>
      <c r="LCD1443" s="35"/>
      <c r="LCE1443" s="35"/>
      <c r="LLZ1443" s="35"/>
      <c r="LMA1443" s="35"/>
      <c r="LVV1443" s="35"/>
      <c r="LVW1443" s="35"/>
      <c r="MFR1443" s="35"/>
      <c r="MFS1443" s="35"/>
      <c r="MPN1443" s="35"/>
      <c r="MPO1443" s="35"/>
      <c r="MZJ1443" s="35"/>
      <c r="MZK1443" s="35"/>
      <c r="NJF1443" s="35"/>
      <c r="NJG1443" s="35"/>
      <c r="NTB1443" s="35"/>
      <c r="NTC1443" s="35"/>
      <c r="OCX1443" s="35"/>
      <c r="OCY1443" s="35"/>
      <c r="OMT1443" s="35"/>
      <c r="OMU1443" s="35"/>
      <c r="OWP1443" s="35"/>
      <c r="OWQ1443" s="35"/>
      <c r="PGL1443" s="35"/>
      <c r="PGM1443" s="35"/>
      <c r="PQH1443" s="35"/>
      <c r="PQI1443" s="35"/>
      <c r="QAD1443" s="35"/>
      <c r="QAE1443" s="35"/>
      <c r="QJZ1443" s="35"/>
      <c r="QKA1443" s="35"/>
      <c r="QTV1443" s="35"/>
      <c r="QTW1443" s="35"/>
      <c r="RDR1443" s="35"/>
      <c r="RDS1443" s="35"/>
      <c r="RNN1443" s="35"/>
      <c r="RNO1443" s="35"/>
      <c r="RXJ1443" s="35"/>
      <c r="RXK1443" s="35"/>
      <c r="SHF1443" s="35"/>
      <c r="SHG1443" s="35"/>
      <c r="SRB1443" s="35"/>
      <c r="SRC1443" s="35"/>
      <c r="TAX1443" s="35"/>
      <c r="TAY1443" s="35"/>
      <c r="TKT1443" s="35"/>
      <c r="TKU1443" s="35"/>
      <c r="TUP1443" s="35"/>
      <c r="TUQ1443" s="35"/>
      <c r="UEL1443" s="35"/>
      <c r="UEM1443" s="35"/>
      <c r="UOH1443" s="35"/>
      <c r="UOI1443" s="35"/>
      <c r="UYD1443" s="35"/>
      <c r="UYE1443" s="35"/>
      <c r="VHZ1443" s="35"/>
      <c r="VIA1443" s="35"/>
      <c r="VRV1443" s="35"/>
      <c r="VRW1443" s="35"/>
      <c r="WBR1443" s="35"/>
      <c r="WBS1443" s="35"/>
      <c r="WLN1443" s="35"/>
      <c r="WLO1443" s="35"/>
      <c r="WVJ1443" s="35"/>
      <c r="WVK1443" s="35"/>
    </row>
    <row r="1444" spans="1:771 1026:1795 2050:2819 3074:3843 4098:4867 5122:5891 6146:6915 7170:7939 8194:8963 9218:9987 10242:11011 11266:12035 12290:13059 13314:14083 14338:15107 15362:16131" s="35" customFormat="1" ht="55.2" x14ac:dyDescent="0.3">
      <c r="A1444" s="28">
        <v>137</v>
      </c>
      <c r="B1444" s="29" t="s">
        <v>1143</v>
      </c>
      <c r="C1444" s="30" t="s">
        <v>1145</v>
      </c>
      <c r="D1444" s="31" t="s">
        <v>13</v>
      </c>
      <c r="E1444" s="32">
        <v>25</v>
      </c>
      <c r="F1444" s="33"/>
      <c r="G1444" s="33"/>
      <c r="H1444" s="34" t="s">
        <v>1146</v>
      </c>
    </row>
    <row r="1445" spans="1:771 1026:1795 2050:2819 3074:3843 4098:4867 5122:5891 6146:6915 7170:7939 8194:8963 9218:9987 10242:11011 11266:12035 12290:13059 13314:14083 14338:15107 15362:16131" s="35" customFormat="1" x14ac:dyDescent="0.3">
      <c r="A1445" s="36"/>
      <c r="B1445" s="72" t="s">
        <v>1144</v>
      </c>
      <c r="C1445" s="38" t="s">
        <v>14</v>
      </c>
      <c r="D1445" s="39"/>
      <c r="E1445" s="44"/>
      <c r="F1445" s="40"/>
      <c r="G1445" s="41">
        <f>SUM(G1446)</f>
        <v>486975000</v>
      </c>
      <c r="H1445" s="42"/>
    </row>
    <row r="1446" spans="1:771 1026:1795 2050:2819 3074:3843 4098:4867 5122:5891 6146:6915 7170:7939 8194:8963 9218:9987 10242:11011 11266:12035 12290:13059 13314:14083 14338:15107 15362:16131" s="35" customFormat="1" ht="78" x14ac:dyDescent="0.3">
      <c r="A1446" s="36"/>
      <c r="B1446" s="72" t="s">
        <v>1123</v>
      </c>
      <c r="C1446" s="48" t="s">
        <v>38</v>
      </c>
      <c r="D1446" s="39" t="s">
        <v>13</v>
      </c>
      <c r="E1446" s="44">
        <v>25</v>
      </c>
      <c r="F1446" s="161">
        <v>19479000</v>
      </c>
      <c r="G1446" s="40">
        <f>E1446*F1446</f>
        <v>486975000</v>
      </c>
      <c r="H1446" s="42"/>
    </row>
    <row r="1447" spans="1:771 1026:1795 2050:2819 3074:3843 4098:4867 5122:5891 6146:6915 7170:7939 8194:8963 9218:9987 10242:11011 11266:12035 12290:13059 13314:14083 14338:15107 15362:16131" s="35" customFormat="1" x14ac:dyDescent="0.3">
      <c r="A1447" s="36"/>
      <c r="B1447" s="50"/>
      <c r="C1447" s="47" t="s">
        <v>35</v>
      </c>
      <c r="D1447" s="39"/>
      <c r="E1447" s="73"/>
      <c r="F1447" s="40"/>
      <c r="G1447" s="41">
        <f>SUM(G1448:G1451)</f>
        <v>19145727.5</v>
      </c>
      <c r="H1447" s="45"/>
    </row>
    <row r="1448" spans="1:771 1026:1795 2050:2819 3074:3843 4098:4867 5122:5891 6146:6915 7170:7939 8194:8963 9218:9987 10242:11011 11266:12035 12290:13059 13314:14083 14338:15107 15362:16131" s="77" customFormat="1" ht="93.6" x14ac:dyDescent="0.3">
      <c r="A1448" s="36"/>
      <c r="B1448" s="75"/>
      <c r="C1448" s="66" t="s">
        <v>1147</v>
      </c>
      <c r="D1448" s="39" t="s">
        <v>13</v>
      </c>
      <c r="E1448" s="73">
        <f>((0.66+0.33)*4.75)/2</f>
        <v>2.3512499999999998</v>
      </c>
      <c r="F1448" s="74">
        <v>3592000</v>
      </c>
      <c r="G1448" s="40">
        <f>E1448*F1448</f>
        <v>8445690</v>
      </c>
      <c r="H1448" s="45" t="s">
        <v>2489</v>
      </c>
    </row>
    <row r="1449" spans="1:771 1026:1795 2050:2819 3074:3843 4098:4867 5122:5891 6146:6915 7170:7939 8194:8963 9218:9987 10242:11011 11266:12035 12290:13059 13314:14083 14338:15107 15362:16131" s="77" customFormat="1" ht="46.8" x14ac:dyDescent="0.3">
      <c r="A1449" s="36"/>
      <c r="B1449" s="75"/>
      <c r="C1449" s="66" t="s">
        <v>1148</v>
      </c>
      <c r="D1449" s="39" t="s">
        <v>13</v>
      </c>
      <c r="E1449" s="73">
        <f>(4.75*3.6)-((2.34+1.96)*4.75)/2</f>
        <v>6.8875000000000011</v>
      </c>
      <c r="F1449" s="74">
        <v>789000</v>
      </c>
      <c r="G1449" s="40">
        <f>E1449*F1449</f>
        <v>5434237.5000000009</v>
      </c>
      <c r="H1449" s="45" t="s">
        <v>2488</v>
      </c>
    </row>
    <row r="1450" spans="1:771 1026:1795 2050:2819 3074:3843 4098:4867 5122:5891 6146:6915 7170:7939 8194:8963 9218:9987 10242:11011 11266:12035 12290:13059 13314:14083 14338:15107 15362:16131" s="77" customFormat="1" ht="18.600000000000001" x14ac:dyDescent="0.3">
      <c r="A1450" s="36"/>
      <c r="B1450" s="75"/>
      <c r="C1450" s="66" t="s">
        <v>18</v>
      </c>
      <c r="D1450" s="39" t="s">
        <v>13</v>
      </c>
      <c r="E1450" s="73">
        <v>9.8000000000000007</v>
      </c>
      <c r="F1450" s="40">
        <v>41000</v>
      </c>
      <c r="G1450" s="40">
        <f>E1450*F1450</f>
        <v>401800.00000000006</v>
      </c>
      <c r="H1450" s="45"/>
    </row>
    <row r="1451" spans="1:771 1026:1795 2050:2819 3074:3843 4098:4867 5122:5891 6146:6915 7170:7939 8194:8963 9218:9987 10242:11011 11266:12035 12290:13059 13314:14083 14338:15107 15362:16131" s="77" customFormat="1" x14ac:dyDescent="0.3">
      <c r="A1451" s="36"/>
      <c r="B1451" s="75"/>
      <c r="C1451" s="66" t="s">
        <v>1149</v>
      </c>
      <c r="D1451" s="39" t="s">
        <v>106</v>
      </c>
      <c r="E1451" s="73">
        <v>1</v>
      </c>
      <c r="F1451" s="40">
        <f>2976000+(236000*8)</f>
        <v>4864000</v>
      </c>
      <c r="G1451" s="40">
        <f>E1451*F1451</f>
        <v>4864000</v>
      </c>
      <c r="H1451" s="45"/>
    </row>
    <row r="1452" spans="1:771 1026:1795 2050:2819 3074:3843 4098:4867 5122:5891 6146:6915 7170:7939 8194:8963 9218:9987 10242:11011 11266:12035 12290:13059 13314:14083 14338:15107 15362:16131" s="35" customFormat="1" ht="65.400000000000006" thickBot="1" x14ac:dyDescent="0.35">
      <c r="A1452" s="53"/>
      <c r="B1452" s="54"/>
      <c r="C1452" s="55" t="s">
        <v>2331</v>
      </c>
      <c r="D1452" s="56"/>
      <c r="E1452" s="5"/>
      <c r="F1452" s="6"/>
      <c r="G1452" s="57"/>
      <c r="H1452" s="58"/>
    </row>
    <row r="1453" spans="1:771 1026:1795 2050:2819 3074:3843 4098:4867 5122:5891 6146:6915 7170:7939 8194:8963 9218:9987 10242:11011 11266:12035 12290:13059 13314:14083 14338:15107 15362:16131" s="59" customFormat="1" ht="31.8" thickBot="1" x14ac:dyDescent="0.35">
      <c r="A1453" s="154"/>
      <c r="B1453" s="155" t="s">
        <v>26</v>
      </c>
      <c r="C1453" s="156"/>
      <c r="D1453" s="154"/>
      <c r="E1453" s="157"/>
      <c r="F1453" s="158"/>
      <c r="G1453" s="159">
        <f>SUM(G1444:G1452)/2</f>
        <v>506120727.5</v>
      </c>
      <c r="H1453" s="160"/>
      <c r="IX1453" s="35"/>
      <c r="IY1453" s="35"/>
      <c r="ST1453" s="35"/>
      <c r="SU1453" s="35"/>
      <c r="ACP1453" s="35"/>
      <c r="ACQ1453" s="35"/>
      <c r="AML1453" s="35"/>
      <c r="AMM1453" s="35"/>
      <c r="AWH1453" s="35"/>
      <c r="AWI1453" s="35"/>
      <c r="BGD1453" s="35"/>
      <c r="BGE1453" s="35"/>
      <c r="BPZ1453" s="35"/>
      <c r="BQA1453" s="35"/>
      <c r="BZV1453" s="35"/>
      <c r="BZW1453" s="35"/>
      <c r="CJR1453" s="35"/>
      <c r="CJS1453" s="35"/>
      <c r="CTN1453" s="35"/>
      <c r="CTO1453" s="35"/>
      <c r="DDJ1453" s="35"/>
      <c r="DDK1453" s="35"/>
      <c r="DNF1453" s="35"/>
      <c r="DNG1453" s="35"/>
      <c r="DXB1453" s="35"/>
      <c r="DXC1453" s="35"/>
      <c r="EGX1453" s="35"/>
      <c r="EGY1453" s="35"/>
      <c r="EQT1453" s="35"/>
      <c r="EQU1453" s="35"/>
      <c r="FAP1453" s="35"/>
      <c r="FAQ1453" s="35"/>
      <c r="FKL1453" s="35"/>
      <c r="FKM1453" s="35"/>
      <c r="FUH1453" s="35"/>
      <c r="FUI1453" s="35"/>
      <c r="GED1453" s="35"/>
      <c r="GEE1453" s="35"/>
      <c r="GNZ1453" s="35"/>
      <c r="GOA1453" s="35"/>
      <c r="GXV1453" s="35"/>
      <c r="GXW1453" s="35"/>
      <c r="HHR1453" s="35"/>
      <c r="HHS1453" s="35"/>
      <c r="HRN1453" s="35"/>
      <c r="HRO1453" s="35"/>
      <c r="IBJ1453" s="35"/>
      <c r="IBK1453" s="35"/>
      <c r="ILF1453" s="35"/>
      <c r="ILG1453" s="35"/>
      <c r="IVB1453" s="35"/>
      <c r="IVC1453" s="35"/>
      <c r="JEX1453" s="35"/>
      <c r="JEY1453" s="35"/>
      <c r="JOT1453" s="35"/>
      <c r="JOU1453" s="35"/>
      <c r="JYP1453" s="35"/>
      <c r="JYQ1453" s="35"/>
      <c r="KIL1453" s="35"/>
      <c r="KIM1453" s="35"/>
      <c r="KSH1453" s="35"/>
      <c r="KSI1453" s="35"/>
      <c r="LCD1453" s="35"/>
      <c r="LCE1453" s="35"/>
      <c r="LLZ1453" s="35"/>
      <c r="LMA1453" s="35"/>
      <c r="LVV1453" s="35"/>
      <c r="LVW1453" s="35"/>
      <c r="MFR1453" s="35"/>
      <c r="MFS1453" s="35"/>
      <c r="MPN1453" s="35"/>
      <c r="MPO1453" s="35"/>
      <c r="MZJ1453" s="35"/>
      <c r="MZK1453" s="35"/>
      <c r="NJF1453" s="35"/>
      <c r="NJG1453" s="35"/>
      <c r="NTB1453" s="35"/>
      <c r="NTC1453" s="35"/>
      <c r="OCX1453" s="35"/>
      <c r="OCY1453" s="35"/>
      <c r="OMT1453" s="35"/>
      <c r="OMU1453" s="35"/>
      <c r="OWP1453" s="35"/>
      <c r="OWQ1453" s="35"/>
      <c r="PGL1453" s="35"/>
      <c r="PGM1453" s="35"/>
      <c r="PQH1453" s="35"/>
      <c r="PQI1453" s="35"/>
      <c r="QAD1453" s="35"/>
      <c r="QAE1453" s="35"/>
      <c r="QJZ1453" s="35"/>
      <c r="QKA1453" s="35"/>
      <c r="QTV1453" s="35"/>
      <c r="QTW1453" s="35"/>
      <c r="RDR1453" s="35"/>
      <c r="RDS1453" s="35"/>
      <c r="RNN1453" s="35"/>
      <c r="RNO1453" s="35"/>
      <c r="RXJ1453" s="35"/>
      <c r="RXK1453" s="35"/>
      <c r="SHF1453" s="35"/>
      <c r="SHG1453" s="35"/>
      <c r="SRB1453" s="35"/>
      <c r="SRC1453" s="35"/>
      <c r="TAX1453" s="35"/>
      <c r="TAY1453" s="35"/>
      <c r="TKT1453" s="35"/>
      <c r="TKU1453" s="35"/>
      <c r="TUP1453" s="35"/>
      <c r="TUQ1453" s="35"/>
      <c r="UEL1453" s="35"/>
      <c r="UEM1453" s="35"/>
      <c r="UOH1453" s="35"/>
      <c r="UOI1453" s="35"/>
      <c r="UYD1453" s="35"/>
      <c r="UYE1453" s="35"/>
      <c r="VHZ1453" s="35"/>
      <c r="VIA1453" s="35"/>
      <c r="VRV1453" s="35"/>
      <c r="VRW1453" s="35"/>
      <c r="WBR1453" s="35"/>
      <c r="WBS1453" s="35"/>
      <c r="WLN1453" s="35"/>
      <c r="WLO1453" s="35"/>
      <c r="WVJ1453" s="35"/>
      <c r="WVK1453" s="35"/>
    </row>
    <row r="1454" spans="1:771 1026:1795 2050:2819 3074:3843 4098:4867 5122:5891 6146:6915 7170:7939 8194:8963 9218:9987 10242:11011 11266:12035 12290:13059 13314:14083 14338:15107 15362:16131" s="35" customFormat="1" ht="55.2" x14ac:dyDescent="0.3">
      <c r="A1454" s="28">
        <v>138</v>
      </c>
      <c r="B1454" s="29" t="s">
        <v>1150</v>
      </c>
      <c r="C1454" s="30" t="s">
        <v>1154</v>
      </c>
      <c r="D1454" s="31" t="s">
        <v>13</v>
      </c>
      <c r="E1454" s="32">
        <v>11</v>
      </c>
      <c r="F1454" s="33"/>
      <c r="G1454" s="33"/>
      <c r="H1454" s="34" t="s">
        <v>1155</v>
      </c>
    </row>
    <row r="1455" spans="1:771 1026:1795 2050:2819 3074:3843 4098:4867 5122:5891 6146:6915 7170:7939 8194:8963 9218:9987 10242:11011 11266:12035 12290:13059 13314:14083 14338:15107 15362:16131" s="35" customFormat="1" x14ac:dyDescent="0.3">
      <c r="A1455" s="36"/>
      <c r="B1455" s="72" t="s">
        <v>1151</v>
      </c>
      <c r="C1455" s="38" t="s">
        <v>14</v>
      </c>
      <c r="D1455" s="39"/>
      <c r="E1455" s="44"/>
      <c r="F1455" s="40"/>
      <c r="G1455" s="41">
        <f>SUM(G1456)</f>
        <v>114444000</v>
      </c>
      <c r="H1455" s="42"/>
    </row>
    <row r="1456" spans="1:771 1026:1795 2050:2819 3074:3843 4098:4867 5122:5891 6146:6915 7170:7939 8194:8963 9218:9987 10242:11011 11266:12035 12290:13059 13314:14083 14338:15107 15362:16131" s="35" customFormat="1" ht="78" x14ac:dyDescent="0.3">
      <c r="A1456" s="36"/>
      <c r="B1456" s="72" t="s">
        <v>1152</v>
      </c>
      <c r="C1456" s="43" t="s">
        <v>55</v>
      </c>
      <c r="D1456" s="39" t="s">
        <v>13</v>
      </c>
      <c r="E1456" s="73">
        <v>11</v>
      </c>
      <c r="F1456" s="153">
        <v>10404000</v>
      </c>
      <c r="G1456" s="40">
        <f>E1456*F1456</f>
        <v>114444000</v>
      </c>
      <c r="H1456" s="42"/>
    </row>
    <row r="1457" spans="1:771 1026:1795 2050:2819 3074:3843 4098:4867 5122:5891 6146:6915 7170:7939 8194:8963 9218:9987 10242:11011 11266:12035 12290:13059 13314:14083 14338:15107 15362:16131" s="35" customFormat="1" x14ac:dyDescent="0.3">
      <c r="A1457" s="36"/>
      <c r="B1457" s="72" t="s">
        <v>1153</v>
      </c>
      <c r="C1457" s="51" t="s">
        <v>23</v>
      </c>
      <c r="D1457" s="39"/>
      <c r="E1457" s="1"/>
      <c r="F1457" s="2"/>
      <c r="G1457" s="41">
        <f>SUM(G1458)</f>
        <v>6120000</v>
      </c>
      <c r="H1457" s="52"/>
    </row>
    <row r="1458" spans="1:771 1026:1795 2050:2819 3074:3843 4098:4867 5122:5891 6146:6915 7170:7939 8194:8963 9218:9987 10242:11011 11266:12035 12290:13059 13314:14083 14338:15107 15362:16131" s="35" customFormat="1" x14ac:dyDescent="0.3">
      <c r="A1458" s="36"/>
      <c r="B1458" s="46"/>
      <c r="C1458" s="50" t="s">
        <v>24</v>
      </c>
      <c r="D1458" s="39" t="s">
        <v>25</v>
      </c>
      <c r="E1458" s="1">
        <f>2*30*6</f>
        <v>360</v>
      </c>
      <c r="F1458" s="2">
        <v>17000</v>
      </c>
      <c r="G1458" s="40">
        <f>E1458*F1458</f>
        <v>6120000</v>
      </c>
      <c r="H1458" s="42"/>
    </row>
    <row r="1459" spans="1:771 1026:1795 2050:2819 3074:3843 4098:4867 5122:5891 6146:6915 7170:7939 8194:8963 9218:9987 10242:11011 11266:12035 12290:13059 13314:14083 14338:15107 15362:16131" s="35" customFormat="1" ht="65.400000000000006" thickBot="1" x14ac:dyDescent="0.35">
      <c r="A1459" s="53"/>
      <c r="B1459" s="54"/>
      <c r="C1459" s="55" t="s">
        <v>2331</v>
      </c>
      <c r="D1459" s="56"/>
      <c r="E1459" s="5"/>
      <c r="F1459" s="6"/>
      <c r="G1459" s="57"/>
      <c r="H1459" s="58"/>
    </row>
    <row r="1460" spans="1:771 1026:1795 2050:2819 3074:3843 4098:4867 5122:5891 6146:6915 7170:7939 8194:8963 9218:9987 10242:11011 11266:12035 12290:13059 13314:14083 14338:15107 15362:16131" s="59" customFormat="1" ht="31.8" thickBot="1" x14ac:dyDescent="0.35">
      <c r="A1460" s="154"/>
      <c r="B1460" s="155" t="s">
        <v>26</v>
      </c>
      <c r="C1460" s="156"/>
      <c r="D1460" s="154"/>
      <c r="E1460" s="157"/>
      <c r="F1460" s="158"/>
      <c r="G1460" s="159">
        <f>SUM(G1454:G1459)/2</f>
        <v>120564000</v>
      </c>
      <c r="H1460" s="160"/>
      <c r="IX1460" s="35"/>
      <c r="IY1460" s="35"/>
      <c r="ST1460" s="35"/>
      <c r="SU1460" s="35"/>
      <c r="ACP1460" s="35"/>
      <c r="ACQ1460" s="35"/>
      <c r="AML1460" s="35"/>
      <c r="AMM1460" s="35"/>
      <c r="AWH1460" s="35"/>
      <c r="AWI1460" s="35"/>
      <c r="BGD1460" s="35"/>
      <c r="BGE1460" s="35"/>
      <c r="BPZ1460" s="35"/>
      <c r="BQA1460" s="35"/>
      <c r="BZV1460" s="35"/>
      <c r="BZW1460" s="35"/>
      <c r="CJR1460" s="35"/>
      <c r="CJS1460" s="35"/>
      <c r="CTN1460" s="35"/>
      <c r="CTO1460" s="35"/>
      <c r="DDJ1460" s="35"/>
      <c r="DDK1460" s="35"/>
      <c r="DNF1460" s="35"/>
      <c r="DNG1460" s="35"/>
      <c r="DXB1460" s="35"/>
      <c r="DXC1460" s="35"/>
      <c r="EGX1460" s="35"/>
      <c r="EGY1460" s="35"/>
      <c r="EQT1460" s="35"/>
      <c r="EQU1460" s="35"/>
      <c r="FAP1460" s="35"/>
      <c r="FAQ1460" s="35"/>
      <c r="FKL1460" s="35"/>
      <c r="FKM1460" s="35"/>
      <c r="FUH1460" s="35"/>
      <c r="FUI1460" s="35"/>
      <c r="GED1460" s="35"/>
      <c r="GEE1460" s="35"/>
      <c r="GNZ1460" s="35"/>
      <c r="GOA1460" s="35"/>
      <c r="GXV1460" s="35"/>
      <c r="GXW1460" s="35"/>
      <c r="HHR1460" s="35"/>
      <c r="HHS1460" s="35"/>
      <c r="HRN1460" s="35"/>
      <c r="HRO1460" s="35"/>
      <c r="IBJ1460" s="35"/>
      <c r="IBK1460" s="35"/>
      <c r="ILF1460" s="35"/>
      <c r="ILG1460" s="35"/>
      <c r="IVB1460" s="35"/>
      <c r="IVC1460" s="35"/>
      <c r="JEX1460" s="35"/>
      <c r="JEY1460" s="35"/>
      <c r="JOT1460" s="35"/>
      <c r="JOU1460" s="35"/>
      <c r="JYP1460" s="35"/>
      <c r="JYQ1460" s="35"/>
      <c r="KIL1460" s="35"/>
      <c r="KIM1460" s="35"/>
      <c r="KSH1460" s="35"/>
      <c r="KSI1460" s="35"/>
      <c r="LCD1460" s="35"/>
      <c r="LCE1460" s="35"/>
      <c r="LLZ1460" s="35"/>
      <c r="LMA1460" s="35"/>
      <c r="LVV1460" s="35"/>
      <c r="LVW1460" s="35"/>
      <c r="MFR1460" s="35"/>
      <c r="MFS1460" s="35"/>
      <c r="MPN1460" s="35"/>
      <c r="MPO1460" s="35"/>
      <c r="MZJ1460" s="35"/>
      <c r="MZK1460" s="35"/>
      <c r="NJF1460" s="35"/>
      <c r="NJG1460" s="35"/>
      <c r="NTB1460" s="35"/>
      <c r="NTC1460" s="35"/>
      <c r="OCX1460" s="35"/>
      <c r="OCY1460" s="35"/>
      <c r="OMT1460" s="35"/>
      <c r="OMU1460" s="35"/>
      <c r="OWP1460" s="35"/>
      <c r="OWQ1460" s="35"/>
      <c r="PGL1460" s="35"/>
      <c r="PGM1460" s="35"/>
      <c r="PQH1460" s="35"/>
      <c r="PQI1460" s="35"/>
      <c r="QAD1460" s="35"/>
      <c r="QAE1460" s="35"/>
      <c r="QJZ1460" s="35"/>
      <c r="QKA1460" s="35"/>
      <c r="QTV1460" s="35"/>
      <c r="QTW1460" s="35"/>
      <c r="RDR1460" s="35"/>
      <c r="RDS1460" s="35"/>
      <c r="RNN1460" s="35"/>
      <c r="RNO1460" s="35"/>
      <c r="RXJ1460" s="35"/>
      <c r="RXK1460" s="35"/>
      <c r="SHF1460" s="35"/>
      <c r="SHG1460" s="35"/>
      <c r="SRB1460" s="35"/>
      <c r="SRC1460" s="35"/>
      <c r="TAX1460" s="35"/>
      <c r="TAY1460" s="35"/>
      <c r="TKT1460" s="35"/>
      <c r="TKU1460" s="35"/>
      <c r="TUP1460" s="35"/>
      <c r="TUQ1460" s="35"/>
      <c r="UEL1460" s="35"/>
      <c r="UEM1460" s="35"/>
      <c r="UOH1460" s="35"/>
      <c r="UOI1460" s="35"/>
      <c r="UYD1460" s="35"/>
      <c r="UYE1460" s="35"/>
      <c r="VHZ1460" s="35"/>
      <c r="VIA1460" s="35"/>
      <c r="VRV1460" s="35"/>
      <c r="VRW1460" s="35"/>
      <c r="WBR1460" s="35"/>
      <c r="WBS1460" s="35"/>
      <c r="WLN1460" s="35"/>
      <c r="WLO1460" s="35"/>
      <c r="WVJ1460" s="35"/>
      <c r="WVK1460" s="35"/>
    </row>
    <row r="1461" spans="1:771 1026:1795 2050:2819 3074:3843 4098:4867 5122:5891 6146:6915 7170:7939 8194:8963 9218:9987 10242:11011 11266:12035 12290:13059 13314:14083 14338:15107 15362:16131" s="35" customFormat="1" ht="55.2" x14ac:dyDescent="0.3">
      <c r="A1461" s="28">
        <v>139</v>
      </c>
      <c r="B1461" s="29" t="s">
        <v>1156</v>
      </c>
      <c r="C1461" s="30" t="s">
        <v>1160</v>
      </c>
      <c r="D1461" s="31" t="s">
        <v>13</v>
      </c>
      <c r="E1461" s="32">
        <v>17.100000000000001</v>
      </c>
      <c r="F1461" s="33"/>
      <c r="G1461" s="33"/>
      <c r="H1461" s="34" t="s">
        <v>1161</v>
      </c>
    </row>
    <row r="1462" spans="1:771 1026:1795 2050:2819 3074:3843 4098:4867 5122:5891 6146:6915 7170:7939 8194:8963 9218:9987 10242:11011 11266:12035 12290:13059 13314:14083 14338:15107 15362:16131" s="35" customFormat="1" x14ac:dyDescent="0.3">
      <c r="A1462" s="36"/>
      <c r="B1462" s="72" t="s">
        <v>1157</v>
      </c>
      <c r="C1462" s="38" t="s">
        <v>14</v>
      </c>
      <c r="D1462" s="39"/>
      <c r="E1462" s="44"/>
      <c r="F1462" s="40"/>
      <c r="G1462" s="41">
        <f>SUM(G1463)</f>
        <v>333090900</v>
      </c>
      <c r="H1462" s="42"/>
    </row>
    <row r="1463" spans="1:771 1026:1795 2050:2819 3074:3843 4098:4867 5122:5891 6146:6915 7170:7939 8194:8963 9218:9987 10242:11011 11266:12035 12290:13059 13314:14083 14338:15107 15362:16131" s="35" customFormat="1" ht="78" x14ac:dyDescent="0.3">
      <c r="A1463" s="36"/>
      <c r="B1463" s="72" t="s">
        <v>1158</v>
      </c>
      <c r="C1463" s="48" t="s">
        <v>38</v>
      </c>
      <c r="D1463" s="39" t="s">
        <v>13</v>
      </c>
      <c r="E1463" s="44">
        <v>17.100000000000001</v>
      </c>
      <c r="F1463" s="161">
        <v>19479000</v>
      </c>
      <c r="G1463" s="40">
        <f>E1463*F1463</f>
        <v>333090900</v>
      </c>
      <c r="H1463" s="42"/>
    </row>
    <row r="1464" spans="1:771 1026:1795 2050:2819 3074:3843 4098:4867 5122:5891 6146:6915 7170:7939 8194:8963 9218:9987 10242:11011 11266:12035 12290:13059 13314:14083 14338:15107 15362:16131" s="35" customFormat="1" ht="31.2" x14ac:dyDescent="0.3">
      <c r="A1464" s="36"/>
      <c r="B1464" s="72" t="s">
        <v>1159</v>
      </c>
      <c r="C1464" s="47" t="s">
        <v>35</v>
      </c>
      <c r="D1464" s="39"/>
      <c r="E1464" s="73"/>
      <c r="F1464" s="40"/>
      <c r="G1464" s="41">
        <f>SUM(G1465:G1468)</f>
        <v>8092584</v>
      </c>
      <c r="H1464" s="45"/>
    </row>
    <row r="1465" spans="1:771 1026:1795 2050:2819 3074:3843 4098:4867 5122:5891 6146:6915 7170:7939 8194:8963 9218:9987 10242:11011 11266:12035 12290:13059 13314:14083 14338:15107 15362:16131" s="77" customFormat="1" ht="46.8" x14ac:dyDescent="0.3">
      <c r="A1465" s="36"/>
      <c r="B1465" s="75"/>
      <c r="C1465" s="66" t="s">
        <v>1162</v>
      </c>
      <c r="D1465" s="39" t="s">
        <v>13</v>
      </c>
      <c r="E1465" s="73">
        <v>8.5359999999999996</v>
      </c>
      <c r="F1465" s="74">
        <v>789000</v>
      </c>
      <c r="G1465" s="40">
        <f>E1465*F1465</f>
        <v>6734904</v>
      </c>
      <c r="H1465" s="45" t="s">
        <v>2490</v>
      </c>
    </row>
    <row r="1466" spans="1:771 1026:1795 2050:2819 3074:3843 4098:4867 5122:5891 6146:6915 7170:7939 8194:8963 9218:9987 10242:11011 11266:12035 12290:13059 13314:14083 14338:15107 15362:16131" s="77" customFormat="1" x14ac:dyDescent="0.3">
      <c r="A1466" s="36"/>
      <c r="B1466" s="75"/>
      <c r="C1466" s="66" t="s">
        <v>105</v>
      </c>
      <c r="D1466" s="39" t="s">
        <v>106</v>
      </c>
      <c r="E1466" s="73">
        <v>1</v>
      </c>
      <c r="F1466" s="74"/>
      <c r="G1466" s="40">
        <f>E1466*F1466</f>
        <v>0</v>
      </c>
      <c r="H1466" s="52" t="s">
        <v>2353</v>
      </c>
    </row>
    <row r="1467" spans="1:771 1026:1795 2050:2819 3074:3843 4098:4867 5122:5891 6146:6915 7170:7939 8194:8963 9218:9987 10242:11011 11266:12035 12290:13059 13314:14083 14338:15107 15362:16131" s="77" customFormat="1" ht="18.600000000000001" x14ac:dyDescent="0.3">
      <c r="A1467" s="36"/>
      <c r="B1467" s="75"/>
      <c r="C1467" s="66" t="s">
        <v>18</v>
      </c>
      <c r="D1467" s="39" t="s">
        <v>13</v>
      </c>
      <c r="E1467" s="73">
        <v>4.8</v>
      </c>
      <c r="F1467" s="40">
        <v>41000</v>
      </c>
      <c r="G1467" s="40">
        <f>E1467*F1467</f>
        <v>196800</v>
      </c>
      <c r="H1467" s="45"/>
    </row>
    <row r="1468" spans="1:771 1026:1795 2050:2819 3074:3843 4098:4867 5122:5891 6146:6915 7170:7939 8194:8963 9218:9987 10242:11011 11266:12035 12290:13059 13314:14083 14338:15107 15362:16131" s="77" customFormat="1" ht="18.600000000000001" x14ac:dyDescent="0.3">
      <c r="A1468" s="36"/>
      <c r="B1468" s="75"/>
      <c r="C1468" s="66" t="s">
        <v>305</v>
      </c>
      <c r="D1468" s="39" t="s">
        <v>13</v>
      </c>
      <c r="E1468" s="73">
        <v>8.2919999999999998</v>
      </c>
      <c r="F1468" s="40">
        <v>140000</v>
      </c>
      <c r="G1468" s="40">
        <f>E1468*F1468</f>
        <v>1160880</v>
      </c>
      <c r="H1468" s="45"/>
    </row>
    <row r="1469" spans="1:771 1026:1795 2050:2819 3074:3843 4098:4867 5122:5891 6146:6915 7170:7939 8194:8963 9218:9987 10242:11011 11266:12035 12290:13059 13314:14083 14338:15107 15362:16131" s="35" customFormat="1" x14ac:dyDescent="0.3">
      <c r="A1469" s="36"/>
      <c r="B1469" s="46"/>
      <c r="C1469" s="51" t="s">
        <v>20</v>
      </c>
      <c r="D1469" s="39"/>
      <c r="E1469" s="44"/>
      <c r="F1469" s="40"/>
      <c r="G1469" s="41">
        <f>SUM(G1470:G1473)</f>
        <v>200000</v>
      </c>
      <c r="H1469" s="52"/>
    </row>
    <row r="1470" spans="1:771 1026:1795 2050:2819 3074:3843 4098:4867 5122:5891 6146:6915 7170:7939 8194:8963 9218:9987 10242:11011 11266:12035 12290:13059 13314:14083 14338:15107 15362:16131" s="35" customFormat="1" x14ac:dyDescent="0.3">
      <c r="A1470" s="36"/>
      <c r="B1470" s="46"/>
      <c r="C1470" s="75" t="s">
        <v>631</v>
      </c>
      <c r="D1470" s="76" t="s">
        <v>22</v>
      </c>
      <c r="E1470" s="44">
        <v>2</v>
      </c>
      <c r="F1470" s="74">
        <v>40000</v>
      </c>
      <c r="G1470" s="40">
        <f>E1470*F1470</f>
        <v>80000</v>
      </c>
      <c r="H1470" s="52"/>
    </row>
    <row r="1471" spans="1:771 1026:1795 2050:2819 3074:3843 4098:4867 5122:5891 6146:6915 7170:7939 8194:8963 9218:9987 10242:11011 11266:12035 12290:13059 13314:14083 14338:15107 15362:16131" s="35" customFormat="1" x14ac:dyDescent="0.3">
      <c r="A1471" s="36"/>
      <c r="B1471" s="46"/>
      <c r="C1471" s="75" t="s">
        <v>779</v>
      </c>
      <c r="D1471" s="76" t="s">
        <v>22</v>
      </c>
      <c r="E1471" s="44">
        <v>2</v>
      </c>
      <c r="F1471" s="74">
        <v>40000</v>
      </c>
      <c r="G1471" s="40">
        <f>E1471*F1471</f>
        <v>80000</v>
      </c>
      <c r="H1471" s="52"/>
    </row>
    <row r="1472" spans="1:771 1026:1795 2050:2819 3074:3843 4098:4867 5122:5891 6146:6915 7170:7939 8194:8963 9218:9987 10242:11011 11266:12035 12290:13059 13314:14083 14338:15107 15362:16131" s="77" customFormat="1" x14ac:dyDescent="0.3">
      <c r="A1472" s="36"/>
      <c r="B1472" s="37"/>
      <c r="C1472" s="75" t="s">
        <v>197</v>
      </c>
      <c r="D1472" s="76" t="s">
        <v>22</v>
      </c>
      <c r="E1472" s="44">
        <v>2</v>
      </c>
      <c r="F1472" s="74">
        <v>20000</v>
      </c>
      <c r="G1472" s="40">
        <f>E1472*F1472</f>
        <v>40000</v>
      </c>
      <c r="H1472" s="52"/>
    </row>
    <row r="1473" spans="1:771 1026:1795 2050:2819 3074:3843 4098:4867 5122:5891 6146:6915 7170:7939 8194:8963 9218:9987 10242:11011 11266:12035 12290:13059 13314:14083 14338:15107 15362:16131" s="35" customFormat="1" ht="65.400000000000006" thickBot="1" x14ac:dyDescent="0.35">
      <c r="A1473" s="53"/>
      <c r="B1473" s="54"/>
      <c r="C1473" s="55" t="s">
        <v>2331</v>
      </c>
      <c r="D1473" s="56"/>
      <c r="E1473" s="5"/>
      <c r="F1473" s="6"/>
      <c r="G1473" s="57"/>
      <c r="H1473" s="58"/>
    </row>
    <row r="1474" spans="1:771 1026:1795 2050:2819 3074:3843 4098:4867 5122:5891 6146:6915 7170:7939 8194:8963 9218:9987 10242:11011 11266:12035 12290:13059 13314:14083 14338:15107 15362:16131" s="59" customFormat="1" ht="31.8" thickBot="1" x14ac:dyDescent="0.35">
      <c r="A1474" s="154"/>
      <c r="B1474" s="155" t="s">
        <v>26</v>
      </c>
      <c r="C1474" s="156"/>
      <c r="D1474" s="154"/>
      <c r="E1474" s="157"/>
      <c r="F1474" s="158"/>
      <c r="G1474" s="159">
        <f>SUM(G1461:G1473)/2</f>
        <v>341383484</v>
      </c>
      <c r="H1474" s="160"/>
      <c r="IX1474" s="35"/>
      <c r="IY1474" s="35"/>
      <c r="ST1474" s="35"/>
      <c r="SU1474" s="35"/>
      <c r="ACP1474" s="35"/>
      <c r="ACQ1474" s="35"/>
      <c r="AML1474" s="35"/>
      <c r="AMM1474" s="35"/>
      <c r="AWH1474" s="35"/>
      <c r="AWI1474" s="35"/>
      <c r="BGD1474" s="35"/>
      <c r="BGE1474" s="35"/>
      <c r="BPZ1474" s="35"/>
      <c r="BQA1474" s="35"/>
      <c r="BZV1474" s="35"/>
      <c r="BZW1474" s="35"/>
      <c r="CJR1474" s="35"/>
      <c r="CJS1474" s="35"/>
      <c r="CTN1474" s="35"/>
      <c r="CTO1474" s="35"/>
      <c r="DDJ1474" s="35"/>
      <c r="DDK1474" s="35"/>
      <c r="DNF1474" s="35"/>
      <c r="DNG1474" s="35"/>
      <c r="DXB1474" s="35"/>
      <c r="DXC1474" s="35"/>
      <c r="EGX1474" s="35"/>
      <c r="EGY1474" s="35"/>
      <c r="EQT1474" s="35"/>
      <c r="EQU1474" s="35"/>
      <c r="FAP1474" s="35"/>
      <c r="FAQ1474" s="35"/>
      <c r="FKL1474" s="35"/>
      <c r="FKM1474" s="35"/>
      <c r="FUH1474" s="35"/>
      <c r="FUI1474" s="35"/>
      <c r="GED1474" s="35"/>
      <c r="GEE1474" s="35"/>
      <c r="GNZ1474" s="35"/>
      <c r="GOA1474" s="35"/>
      <c r="GXV1474" s="35"/>
      <c r="GXW1474" s="35"/>
      <c r="HHR1474" s="35"/>
      <c r="HHS1474" s="35"/>
      <c r="HRN1474" s="35"/>
      <c r="HRO1474" s="35"/>
      <c r="IBJ1474" s="35"/>
      <c r="IBK1474" s="35"/>
      <c r="ILF1474" s="35"/>
      <c r="ILG1474" s="35"/>
      <c r="IVB1474" s="35"/>
      <c r="IVC1474" s="35"/>
      <c r="JEX1474" s="35"/>
      <c r="JEY1474" s="35"/>
      <c r="JOT1474" s="35"/>
      <c r="JOU1474" s="35"/>
      <c r="JYP1474" s="35"/>
      <c r="JYQ1474" s="35"/>
      <c r="KIL1474" s="35"/>
      <c r="KIM1474" s="35"/>
      <c r="KSH1474" s="35"/>
      <c r="KSI1474" s="35"/>
      <c r="LCD1474" s="35"/>
      <c r="LCE1474" s="35"/>
      <c r="LLZ1474" s="35"/>
      <c r="LMA1474" s="35"/>
      <c r="LVV1474" s="35"/>
      <c r="LVW1474" s="35"/>
      <c r="MFR1474" s="35"/>
      <c r="MFS1474" s="35"/>
      <c r="MPN1474" s="35"/>
      <c r="MPO1474" s="35"/>
      <c r="MZJ1474" s="35"/>
      <c r="MZK1474" s="35"/>
      <c r="NJF1474" s="35"/>
      <c r="NJG1474" s="35"/>
      <c r="NTB1474" s="35"/>
      <c r="NTC1474" s="35"/>
      <c r="OCX1474" s="35"/>
      <c r="OCY1474" s="35"/>
      <c r="OMT1474" s="35"/>
      <c r="OMU1474" s="35"/>
      <c r="OWP1474" s="35"/>
      <c r="OWQ1474" s="35"/>
      <c r="PGL1474" s="35"/>
      <c r="PGM1474" s="35"/>
      <c r="PQH1474" s="35"/>
      <c r="PQI1474" s="35"/>
      <c r="QAD1474" s="35"/>
      <c r="QAE1474" s="35"/>
      <c r="QJZ1474" s="35"/>
      <c r="QKA1474" s="35"/>
      <c r="QTV1474" s="35"/>
      <c r="QTW1474" s="35"/>
      <c r="RDR1474" s="35"/>
      <c r="RDS1474" s="35"/>
      <c r="RNN1474" s="35"/>
      <c r="RNO1474" s="35"/>
      <c r="RXJ1474" s="35"/>
      <c r="RXK1474" s="35"/>
      <c r="SHF1474" s="35"/>
      <c r="SHG1474" s="35"/>
      <c r="SRB1474" s="35"/>
      <c r="SRC1474" s="35"/>
      <c r="TAX1474" s="35"/>
      <c r="TAY1474" s="35"/>
      <c r="TKT1474" s="35"/>
      <c r="TKU1474" s="35"/>
      <c r="TUP1474" s="35"/>
      <c r="TUQ1474" s="35"/>
      <c r="UEL1474" s="35"/>
      <c r="UEM1474" s="35"/>
      <c r="UOH1474" s="35"/>
      <c r="UOI1474" s="35"/>
      <c r="UYD1474" s="35"/>
      <c r="UYE1474" s="35"/>
      <c r="VHZ1474" s="35"/>
      <c r="VIA1474" s="35"/>
      <c r="VRV1474" s="35"/>
      <c r="VRW1474" s="35"/>
      <c r="WBR1474" s="35"/>
      <c r="WBS1474" s="35"/>
      <c r="WLN1474" s="35"/>
      <c r="WLO1474" s="35"/>
      <c r="WVJ1474" s="35"/>
      <c r="WVK1474" s="35"/>
    </row>
    <row r="1475" spans="1:771 1026:1795 2050:2819 3074:3843 4098:4867 5122:5891 6146:6915 7170:7939 8194:8963 9218:9987 10242:11011 11266:12035 12290:13059 13314:14083 14338:15107 15362:16131" s="35" customFormat="1" ht="55.2" x14ac:dyDescent="0.3">
      <c r="A1475" s="28">
        <v>140</v>
      </c>
      <c r="B1475" s="29" t="s">
        <v>1163</v>
      </c>
      <c r="C1475" s="30" t="s">
        <v>1166</v>
      </c>
      <c r="D1475" s="31" t="s">
        <v>13</v>
      </c>
      <c r="E1475" s="32">
        <v>20</v>
      </c>
      <c r="F1475" s="33"/>
      <c r="G1475" s="33"/>
      <c r="H1475" s="34" t="s">
        <v>1165</v>
      </c>
    </row>
    <row r="1476" spans="1:771 1026:1795 2050:2819 3074:3843 4098:4867 5122:5891 6146:6915 7170:7939 8194:8963 9218:9987 10242:11011 11266:12035 12290:13059 13314:14083 14338:15107 15362:16131" s="35" customFormat="1" x14ac:dyDescent="0.3">
      <c r="A1476" s="36"/>
      <c r="B1476" s="72" t="s">
        <v>326</v>
      </c>
      <c r="C1476" s="38" t="s">
        <v>14</v>
      </c>
      <c r="D1476" s="39"/>
      <c r="E1476" s="44"/>
      <c r="F1476" s="40"/>
      <c r="G1476" s="41">
        <f>SUM(G1477)</f>
        <v>208080000</v>
      </c>
      <c r="H1476" s="42"/>
    </row>
    <row r="1477" spans="1:771 1026:1795 2050:2819 3074:3843 4098:4867 5122:5891 6146:6915 7170:7939 8194:8963 9218:9987 10242:11011 11266:12035 12290:13059 13314:14083 14338:15107 15362:16131" s="35" customFormat="1" ht="78" x14ac:dyDescent="0.3">
      <c r="A1477" s="36"/>
      <c r="B1477" s="72" t="s">
        <v>1096</v>
      </c>
      <c r="C1477" s="43" t="s">
        <v>55</v>
      </c>
      <c r="D1477" s="39" t="s">
        <v>13</v>
      </c>
      <c r="E1477" s="73">
        <v>20</v>
      </c>
      <c r="F1477" s="153">
        <v>10404000</v>
      </c>
      <c r="G1477" s="40">
        <f>E1477*F1477</f>
        <v>208080000</v>
      </c>
      <c r="H1477" s="42"/>
    </row>
    <row r="1478" spans="1:771 1026:1795 2050:2819 3074:3843 4098:4867 5122:5891 6146:6915 7170:7939 8194:8963 9218:9987 10242:11011 11266:12035 12290:13059 13314:14083 14338:15107 15362:16131" s="35" customFormat="1" x14ac:dyDescent="0.3">
      <c r="A1478" s="36"/>
      <c r="B1478" s="72" t="s">
        <v>1164</v>
      </c>
      <c r="C1478" s="47" t="s">
        <v>35</v>
      </c>
      <c r="D1478" s="39"/>
      <c r="E1478" s="73"/>
      <c r="F1478" s="40"/>
      <c r="G1478" s="41">
        <f>SUM(G1479:G1482)</f>
        <v>22085520</v>
      </c>
      <c r="H1478" s="45"/>
    </row>
    <row r="1479" spans="1:771 1026:1795 2050:2819 3074:3843 4098:4867 5122:5891 6146:6915 7170:7939 8194:8963 9218:9987 10242:11011 11266:12035 12290:13059 13314:14083 14338:15107 15362:16131" s="77" customFormat="1" ht="78" x14ac:dyDescent="0.3">
      <c r="A1479" s="36"/>
      <c r="B1479" s="75"/>
      <c r="C1479" s="66" t="s">
        <v>1167</v>
      </c>
      <c r="D1479" s="39" t="s">
        <v>13</v>
      </c>
      <c r="E1479" s="73">
        <v>11.8</v>
      </c>
      <c r="F1479" s="74">
        <f>3592000*40%</f>
        <v>1436800</v>
      </c>
      <c r="G1479" s="40">
        <f>E1479*F1479</f>
        <v>16954240</v>
      </c>
      <c r="H1479" s="45" t="s">
        <v>2491</v>
      </c>
    </row>
    <row r="1480" spans="1:771 1026:1795 2050:2819 3074:3843 4098:4867 5122:5891 6146:6915 7170:7939 8194:8963 9218:9987 10242:11011 11266:12035 12290:13059 13314:14083 14338:15107 15362:16131" s="77" customFormat="1" ht="18.600000000000001" x14ac:dyDescent="0.3">
      <c r="A1480" s="36"/>
      <c r="B1480" s="75"/>
      <c r="C1480" s="66" t="s">
        <v>189</v>
      </c>
      <c r="D1480" s="39" t="s">
        <v>104</v>
      </c>
      <c r="E1480" s="73">
        <v>0.9</v>
      </c>
      <c r="F1480" s="40">
        <v>1421000</v>
      </c>
      <c r="G1480" s="40">
        <f>E1480*F1480</f>
        <v>1278900</v>
      </c>
      <c r="H1480" s="45"/>
    </row>
    <row r="1481" spans="1:771 1026:1795 2050:2819 3074:3843 4098:4867 5122:5891 6146:6915 7170:7939 8194:8963 9218:9987 10242:11011 11266:12035 12290:13059 13314:14083 14338:15107 15362:16131" s="77" customFormat="1" ht="18.600000000000001" x14ac:dyDescent="0.3">
      <c r="A1481" s="36"/>
      <c r="B1481" s="75"/>
      <c r="C1481" s="66" t="s">
        <v>190</v>
      </c>
      <c r="D1481" s="39" t="s">
        <v>13</v>
      </c>
      <c r="E1481" s="73">
        <v>18.04</v>
      </c>
      <c r="F1481" s="74">
        <v>107000</v>
      </c>
      <c r="G1481" s="40">
        <f>E1481*F1481</f>
        <v>1930280</v>
      </c>
      <c r="H1481" s="45"/>
    </row>
    <row r="1482" spans="1:771 1026:1795 2050:2819 3074:3843 4098:4867 5122:5891 6146:6915 7170:7939 8194:8963 9218:9987 10242:11011 11266:12035 12290:13059 13314:14083 14338:15107 15362:16131" s="77" customFormat="1" ht="18.600000000000001" x14ac:dyDescent="0.3">
      <c r="A1482" s="36"/>
      <c r="B1482" s="75"/>
      <c r="C1482" s="66" t="s">
        <v>362</v>
      </c>
      <c r="D1482" s="39" t="s">
        <v>13</v>
      </c>
      <c r="E1482" s="73">
        <v>7.45</v>
      </c>
      <c r="F1482" s="74">
        <v>258000</v>
      </c>
      <c r="G1482" s="40">
        <f>E1482*F1482</f>
        <v>1922100</v>
      </c>
      <c r="H1482" s="45"/>
    </row>
    <row r="1483" spans="1:771 1026:1795 2050:2819 3074:3843 4098:4867 5122:5891 6146:6915 7170:7939 8194:8963 9218:9987 10242:11011 11266:12035 12290:13059 13314:14083 14338:15107 15362:16131" s="35" customFormat="1" x14ac:dyDescent="0.3">
      <c r="A1483" s="36"/>
      <c r="B1483" s="46"/>
      <c r="C1483" s="51" t="s">
        <v>20</v>
      </c>
      <c r="D1483" s="39"/>
      <c r="E1483" s="44"/>
      <c r="F1483" s="40"/>
      <c r="G1483" s="41">
        <f>SUM(G1484:G1485)</f>
        <v>120000</v>
      </c>
      <c r="H1483" s="52"/>
    </row>
    <row r="1484" spans="1:771 1026:1795 2050:2819 3074:3843 4098:4867 5122:5891 6146:6915 7170:7939 8194:8963 9218:9987 10242:11011 11266:12035 12290:13059 13314:14083 14338:15107 15362:16131" s="35" customFormat="1" x14ac:dyDescent="0.3">
      <c r="A1484" s="36"/>
      <c r="B1484" s="46"/>
      <c r="C1484" s="75" t="s">
        <v>1168</v>
      </c>
      <c r="D1484" s="39" t="s">
        <v>21</v>
      </c>
      <c r="E1484" s="44">
        <v>2</v>
      </c>
      <c r="F1484" s="40">
        <v>20000</v>
      </c>
      <c r="G1484" s="40">
        <f>E1484*F1484</f>
        <v>40000</v>
      </c>
      <c r="H1484" s="52"/>
    </row>
    <row r="1485" spans="1:771 1026:1795 2050:2819 3074:3843 4098:4867 5122:5891 6146:6915 7170:7939 8194:8963 9218:9987 10242:11011 11266:12035 12290:13059 13314:14083 14338:15107 15362:16131" s="35" customFormat="1" x14ac:dyDescent="0.3">
      <c r="A1485" s="36"/>
      <c r="B1485" s="46"/>
      <c r="C1485" s="75" t="s">
        <v>1169</v>
      </c>
      <c r="D1485" s="39" t="s">
        <v>21</v>
      </c>
      <c r="E1485" s="44">
        <v>2</v>
      </c>
      <c r="F1485" s="40">
        <v>40000</v>
      </c>
      <c r="G1485" s="40">
        <f>E1485*F1485</f>
        <v>80000</v>
      </c>
      <c r="H1485" s="52"/>
    </row>
    <row r="1486" spans="1:771 1026:1795 2050:2819 3074:3843 4098:4867 5122:5891 6146:6915 7170:7939 8194:8963 9218:9987 10242:11011 11266:12035 12290:13059 13314:14083 14338:15107 15362:16131" s="35" customFormat="1" x14ac:dyDescent="0.3">
      <c r="A1486" s="36"/>
      <c r="B1486" s="46"/>
      <c r="C1486" s="51" t="s">
        <v>23</v>
      </c>
      <c r="D1486" s="39"/>
      <c r="E1486" s="1"/>
      <c r="F1486" s="2"/>
      <c r="G1486" s="41">
        <f>SUM(G1487)</f>
        <v>6120000</v>
      </c>
      <c r="H1486" s="52"/>
    </row>
    <row r="1487" spans="1:771 1026:1795 2050:2819 3074:3843 4098:4867 5122:5891 6146:6915 7170:7939 8194:8963 9218:9987 10242:11011 11266:12035 12290:13059 13314:14083 14338:15107 15362:16131" s="35" customFormat="1" x14ac:dyDescent="0.3">
      <c r="A1487" s="36"/>
      <c r="B1487" s="46"/>
      <c r="C1487" s="50" t="s">
        <v>24</v>
      </c>
      <c r="D1487" s="39" t="s">
        <v>25</v>
      </c>
      <c r="E1487" s="1">
        <f>2*30*6</f>
        <v>360</v>
      </c>
      <c r="F1487" s="2">
        <v>17000</v>
      </c>
      <c r="G1487" s="40">
        <f>E1487*F1487</f>
        <v>6120000</v>
      </c>
      <c r="H1487" s="42"/>
    </row>
    <row r="1488" spans="1:771 1026:1795 2050:2819 3074:3843 4098:4867 5122:5891 6146:6915 7170:7939 8194:8963 9218:9987 10242:11011 11266:12035 12290:13059 13314:14083 14338:15107 15362:16131" s="35" customFormat="1" ht="65.400000000000006" thickBot="1" x14ac:dyDescent="0.35">
      <c r="A1488" s="53"/>
      <c r="B1488" s="54"/>
      <c r="C1488" s="55" t="s">
        <v>2331</v>
      </c>
      <c r="D1488" s="56"/>
      <c r="E1488" s="5"/>
      <c r="F1488" s="6"/>
      <c r="G1488" s="57"/>
      <c r="H1488" s="58"/>
    </row>
    <row r="1489" spans="1:771 1026:1795 2050:2819 3074:3843 4098:4867 5122:5891 6146:6915 7170:7939 8194:8963 9218:9987 10242:11011 11266:12035 12290:13059 13314:14083 14338:15107 15362:16131" s="59" customFormat="1" ht="31.8" thickBot="1" x14ac:dyDescent="0.35">
      <c r="A1489" s="154"/>
      <c r="B1489" s="155" t="s">
        <v>26</v>
      </c>
      <c r="C1489" s="156"/>
      <c r="D1489" s="154"/>
      <c r="E1489" s="157"/>
      <c r="F1489" s="158"/>
      <c r="G1489" s="159">
        <f>SUM(G1475:G1488)/2</f>
        <v>236405520</v>
      </c>
      <c r="H1489" s="160"/>
      <c r="IX1489" s="35"/>
      <c r="IY1489" s="35"/>
      <c r="ST1489" s="35"/>
      <c r="SU1489" s="35"/>
      <c r="ACP1489" s="35"/>
      <c r="ACQ1489" s="35"/>
      <c r="AML1489" s="35"/>
      <c r="AMM1489" s="35"/>
      <c r="AWH1489" s="35"/>
      <c r="AWI1489" s="35"/>
      <c r="BGD1489" s="35"/>
      <c r="BGE1489" s="35"/>
      <c r="BPZ1489" s="35"/>
      <c r="BQA1489" s="35"/>
      <c r="BZV1489" s="35"/>
      <c r="BZW1489" s="35"/>
      <c r="CJR1489" s="35"/>
      <c r="CJS1489" s="35"/>
      <c r="CTN1489" s="35"/>
      <c r="CTO1489" s="35"/>
      <c r="DDJ1489" s="35"/>
      <c r="DDK1489" s="35"/>
      <c r="DNF1489" s="35"/>
      <c r="DNG1489" s="35"/>
      <c r="DXB1489" s="35"/>
      <c r="DXC1489" s="35"/>
      <c r="EGX1489" s="35"/>
      <c r="EGY1489" s="35"/>
      <c r="EQT1489" s="35"/>
      <c r="EQU1489" s="35"/>
      <c r="FAP1489" s="35"/>
      <c r="FAQ1489" s="35"/>
      <c r="FKL1489" s="35"/>
      <c r="FKM1489" s="35"/>
      <c r="FUH1489" s="35"/>
      <c r="FUI1489" s="35"/>
      <c r="GED1489" s="35"/>
      <c r="GEE1489" s="35"/>
      <c r="GNZ1489" s="35"/>
      <c r="GOA1489" s="35"/>
      <c r="GXV1489" s="35"/>
      <c r="GXW1489" s="35"/>
      <c r="HHR1489" s="35"/>
      <c r="HHS1489" s="35"/>
      <c r="HRN1489" s="35"/>
      <c r="HRO1489" s="35"/>
      <c r="IBJ1489" s="35"/>
      <c r="IBK1489" s="35"/>
      <c r="ILF1489" s="35"/>
      <c r="ILG1489" s="35"/>
      <c r="IVB1489" s="35"/>
      <c r="IVC1489" s="35"/>
      <c r="JEX1489" s="35"/>
      <c r="JEY1489" s="35"/>
      <c r="JOT1489" s="35"/>
      <c r="JOU1489" s="35"/>
      <c r="JYP1489" s="35"/>
      <c r="JYQ1489" s="35"/>
      <c r="KIL1489" s="35"/>
      <c r="KIM1489" s="35"/>
      <c r="KSH1489" s="35"/>
      <c r="KSI1489" s="35"/>
      <c r="LCD1489" s="35"/>
      <c r="LCE1489" s="35"/>
      <c r="LLZ1489" s="35"/>
      <c r="LMA1489" s="35"/>
      <c r="LVV1489" s="35"/>
      <c r="LVW1489" s="35"/>
      <c r="MFR1489" s="35"/>
      <c r="MFS1489" s="35"/>
      <c r="MPN1489" s="35"/>
      <c r="MPO1489" s="35"/>
      <c r="MZJ1489" s="35"/>
      <c r="MZK1489" s="35"/>
      <c r="NJF1489" s="35"/>
      <c r="NJG1489" s="35"/>
      <c r="NTB1489" s="35"/>
      <c r="NTC1489" s="35"/>
      <c r="OCX1489" s="35"/>
      <c r="OCY1489" s="35"/>
      <c r="OMT1489" s="35"/>
      <c r="OMU1489" s="35"/>
      <c r="OWP1489" s="35"/>
      <c r="OWQ1489" s="35"/>
      <c r="PGL1489" s="35"/>
      <c r="PGM1489" s="35"/>
      <c r="PQH1489" s="35"/>
      <c r="PQI1489" s="35"/>
      <c r="QAD1489" s="35"/>
      <c r="QAE1489" s="35"/>
      <c r="QJZ1489" s="35"/>
      <c r="QKA1489" s="35"/>
      <c r="QTV1489" s="35"/>
      <c r="QTW1489" s="35"/>
      <c r="RDR1489" s="35"/>
      <c r="RDS1489" s="35"/>
      <c r="RNN1489" s="35"/>
      <c r="RNO1489" s="35"/>
      <c r="RXJ1489" s="35"/>
      <c r="RXK1489" s="35"/>
      <c r="SHF1489" s="35"/>
      <c r="SHG1489" s="35"/>
      <c r="SRB1489" s="35"/>
      <c r="SRC1489" s="35"/>
      <c r="TAX1489" s="35"/>
      <c r="TAY1489" s="35"/>
      <c r="TKT1489" s="35"/>
      <c r="TKU1489" s="35"/>
      <c r="TUP1489" s="35"/>
      <c r="TUQ1489" s="35"/>
      <c r="UEL1489" s="35"/>
      <c r="UEM1489" s="35"/>
      <c r="UOH1489" s="35"/>
      <c r="UOI1489" s="35"/>
      <c r="UYD1489" s="35"/>
      <c r="UYE1489" s="35"/>
      <c r="VHZ1489" s="35"/>
      <c r="VIA1489" s="35"/>
      <c r="VRV1489" s="35"/>
      <c r="VRW1489" s="35"/>
      <c r="WBR1489" s="35"/>
      <c r="WBS1489" s="35"/>
      <c r="WLN1489" s="35"/>
      <c r="WLO1489" s="35"/>
      <c r="WVJ1489" s="35"/>
      <c r="WVK1489" s="35"/>
    </row>
    <row r="1490" spans="1:771 1026:1795 2050:2819 3074:3843 4098:4867 5122:5891 6146:6915 7170:7939 8194:8963 9218:9987 10242:11011 11266:12035 12290:13059 13314:14083 14338:15107 15362:16131" s="35" customFormat="1" ht="55.2" x14ac:dyDescent="0.3">
      <c r="A1490" s="28">
        <v>141</v>
      </c>
      <c r="B1490" s="29" t="s">
        <v>1170</v>
      </c>
      <c r="C1490" s="30" t="s">
        <v>1173</v>
      </c>
      <c r="D1490" s="31" t="s">
        <v>13</v>
      </c>
      <c r="E1490" s="32">
        <v>5.5</v>
      </c>
      <c r="F1490" s="33"/>
      <c r="G1490" s="33"/>
      <c r="H1490" s="34" t="s">
        <v>1174</v>
      </c>
    </row>
    <row r="1491" spans="1:771 1026:1795 2050:2819 3074:3843 4098:4867 5122:5891 6146:6915 7170:7939 8194:8963 9218:9987 10242:11011 11266:12035 12290:13059 13314:14083 14338:15107 15362:16131" s="35" customFormat="1" x14ac:dyDescent="0.3">
      <c r="A1491" s="36"/>
      <c r="B1491" s="72" t="s">
        <v>326</v>
      </c>
      <c r="C1491" s="38" t="s">
        <v>14</v>
      </c>
      <c r="D1491" s="39"/>
      <c r="E1491" s="44"/>
      <c r="F1491" s="40"/>
      <c r="G1491" s="41">
        <f>SUM(G1492)</f>
        <v>57222000</v>
      </c>
      <c r="H1491" s="42"/>
    </row>
    <row r="1492" spans="1:771 1026:1795 2050:2819 3074:3843 4098:4867 5122:5891 6146:6915 7170:7939 8194:8963 9218:9987 10242:11011 11266:12035 12290:13059 13314:14083 14338:15107 15362:16131" s="35" customFormat="1" ht="78" x14ac:dyDescent="0.3">
      <c r="A1492" s="36"/>
      <c r="B1492" s="72" t="s">
        <v>1171</v>
      </c>
      <c r="C1492" s="43" t="s">
        <v>55</v>
      </c>
      <c r="D1492" s="39" t="s">
        <v>13</v>
      </c>
      <c r="E1492" s="73">
        <v>5.5</v>
      </c>
      <c r="F1492" s="153">
        <v>10404000</v>
      </c>
      <c r="G1492" s="40">
        <f>E1492*F1492</f>
        <v>57222000</v>
      </c>
      <c r="H1492" s="42"/>
    </row>
    <row r="1493" spans="1:771 1026:1795 2050:2819 3074:3843 4098:4867 5122:5891 6146:6915 7170:7939 8194:8963 9218:9987 10242:11011 11266:12035 12290:13059 13314:14083 14338:15107 15362:16131" s="35" customFormat="1" x14ac:dyDescent="0.3">
      <c r="A1493" s="36"/>
      <c r="B1493" s="72" t="s">
        <v>1172</v>
      </c>
      <c r="C1493" s="51" t="s">
        <v>23</v>
      </c>
      <c r="D1493" s="39"/>
      <c r="E1493" s="1"/>
      <c r="F1493" s="2"/>
      <c r="G1493" s="41">
        <f>SUM(G1494)</f>
        <v>3060000</v>
      </c>
      <c r="H1493" s="52"/>
    </row>
    <row r="1494" spans="1:771 1026:1795 2050:2819 3074:3843 4098:4867 5122:5891 6146:6915 7170:7939 8194:8963 9218:9987 10242:11011 11266:12035 12290:13059 13314:14083 14338:15107 15362:16131" s="35" customFormat="1" x14ac:dyDescent="0.3">
      <c r="A1494" s="36"/>
      <c r="B1494" s="46"/>
      <c r="C1494" s="50" t="s">
        <v>24</v>
      </c>
      <c r="D1494" s="39" t="s">
        <v>25</v>
      </c>
      <c r="E1494" s="1">
        <f>1*30*6</f>
        <v>180</v>
      </c>
      <c r="F1494" s="2">
        <v>17000</v>
      </c>
      <c r="G1494" s="40">
        <f>E1494*F1494</f>
        <v>3060000</v>
      </c>
      <c r="H1494" s="42"/>
    </row>
    <row r="1495" spans="1:771 1026:1795 2050:2819 3074:3843 4098:4867 5122:5891 6146:6915 7170:7939 8194:8963 9218:9987 10242:11011 11266:12035 12290:13059 13314:14083 14338:15107 15362:16131" s="35" customFormat="1" ht="65.400000000000006" thickBot="1" x14ac:dyDescent="0.35">
      <c r="A1495" s="53"/>
      <c r="B1495" s="54"/>
      <c r="C1495" s="55" t="s">
        <v>2331</v>
      </c>
      <c r="D1495" s="56"/>
      <c r="E1495" s="5"/>
      <c r="F1495" s="6"/>
      <c r="G1495" s="40"/>
      <c r="H1495" s="58"/>
    </row>
    <row r="1496" spans="1:771 1026:1795 2050:2819 3074:3843 4098:4867 5122:5891 6146:6915 7170:7939 8194:8963 9218:9987 10242:11011 11266:12035 12290:13059 13314:14083 14338:15107 15362:16131" s="59" customFormat="1" ht="31.8" thickBot="1" x14ac:dyDescent="0.35">
      <c r="A1496" s="154"/>
      <c r="B1496" s="155" t="s">
        <v>26</v>
      </c>
      <c r="C1496" s="156"/>
      <c r="D1496" s="154"/>
      <c r="E1496" s="157"/>
      <c r="F1496" s="158"/>
      <c r="G1496" s="159">
        <f>SUM(G1490:G1495)/2</f>
        <v>60282000</v>
      </c>
      <c r="H1496" s="160"/>
      <c r="IX1496" s="35"/>
      <c r="IY1496" s="35"/>
      <c r="ST1496" s="35"/>
      <c r="SU1496" s="35"/>
      <c r="ACP1496" s="35"/>
      <c r="ACQ1496" s="35"/>
      <c r="AML1496" s="35"/>
      <c r="AMM1496" s="35"/>
      <c r="AWH1496" s="35"/>
      <c r="AWI1496" s="35"/>
      <c r="BGD1496" s="35"/>
      <c r="BGE1496" s="35"/>
      <c r="BPZ1496" s="35"/>
      <c r="BQA1496" s="35"/>
      <c r="BZV1496" s="35"/>
      <c r="BZW1496" s="35"/>
      <c r="CJR1496" s="35"/>
      <c r="CJS1496" s="35"/>
      <c r="CTN1496" s="35"/>
      <c r="CTO1496" s="35"/>
      <c r="DDJ1496" s="35"/>
      <c r="DDK1496" s="35"/>
      <c r="DNF1496" s="35"/>
      <c r="DNG1496" s="35"/>
      <c r="DXB1496" s="35"/>
      <c r="DXC1496" s="35"/>
      <c r="EGX1496" s="35"/>
      <c r="EGY1496" s="35"/>
      <c r="EQT1496" s="35"/>
      <c r="EQU1496" s="35"/>
      <c r="FAP1496" s="35"/>
      <c r="FAQ1496" s="35"/>
      <c r="FKL1496" s="35"/>
      <c r="FKM1496" s="35"/>
      <c r="FUH1496" s="35"/>
      <c r="FUI1496" s="35"/>
      <c r="GED1496" s="35"/>
      <c r="GEE1496" s="35"/>
      <c r="GNZ1496" s="35"/>
      <c r="GOA1496" s="35"/>
      <c r="GXV1496" s="35"/>
      <c r="GXW1496" s="35"/>
      <c r="HHR1496" s="35"/>
      <c r="HHS1496" s="35"/>
      <c r="HRN1496" s="35"/>
      <c r="HRO1496" s="35"/>
      <c r="IBJ1496" s="35"/>
      <c r="IBK1496" s="35"/>
      <c r="ILF1496" s="35"/>
      <c r="ILG1496" s="35"/>
      <c r="IVB1496" s="35"/>
      <c r="IVC1496" s="35"/>
      <c r="JEX1496" s="35"/>
      <c r="JEY1496" s="35"/>
      <c r="JOT1496" s="35"/>
      <c r="JOU1496" s="35"/>
      <c r="JYP1496" s="35"/>
      <c r="JYQ1496" s="35"/>
      <c r="KIL1496" s="35"/>
      <c r="KIM1496" s="35"/>
      <c r="KSH1496" s="35"/>
      <c r="KSI1496" s="35"/>
      <c r="LCD1496" s="35"/>
      <c r="LCE1496" s="35"/>
      <c r="LLZ1496" s="35"/>
      <c r="LMA1496" s="35"/>
      <c r="LVV1496" s="35"/>
      <c r="LVW1496" s="35"/>
      <c r="MFR1496" s="35"/>
      <c r="MFS1496" s="35"/>
      <c r="MPN1496" s="35"/>
      <c r="MPO1496" s="35"/>
      <c r="MZJ1496" s="35"/>
      <c r="MZK1496" s="35"/>
      <c r="NJF1496" s="35"/>
      <c r="NJG1496" s="35"/>
      <c r="NTB1496" s="35"/>
      <c r="NTC1496" s="35"/>
      <c r="OCX1496" s="35"/>
      <c r="OCY1496" s="35"/>
      <c r="OMT1496" s="35"/>
      <c r="OMU1496" s="35"/>
      <c r="OWP1496" s="35"/>
      <c r="OWQ1496" s="35"/>
      <c r="PGL1496" s="35"/>
      <c r="PGM1496" s="35"/>
      <c r="PQH1496" s="35"/>
      <c r="PQI1496" s="35"/>
      <c r="QAD1496" s="35"/>
      <c r="QAE1496" s="35"/>
      <c r="QJZ1496" s="35"/>
      <c r="QKA1496" s="35"/>
      <c r="QTV1496" s="35"/>
      <c r="QTW1496" s="35"/>
      <c r="RDR1496" s="35"/>
      <c r="RDS1496" s="35"/>
      <c r="RNN1496" s="35"/>
      <c r="RNO1496" s="35"/>
      <c r="RXJ1496" s="35"/>
      <c r="RXK1496" s="35"/>
      <c r="SHF1496" s="35"/>
      <c r="SHG1496" s="35"/>
      <c r="SRB1496" s="35"/>
      <c r="SRC1496" s="35"/>
      <c r="TAX1496" s="35"/>
      <c r="TAY1496" s="35"/>
      <c r="TKT1496" s="35"/>
      <c r="TKU1496" s="35"/>
      <c r="TUP1496" s="35"/>
      <c r="TUQ1496" s="35"/>
      <c r="UEL1496" s="35"/>
      <c r="UEM1496" s="35"/>
      <c r="UOH1496" s="35"/>
      <c r="UOI1496" s="35"/>
      <c r="UYD1496" s="35"/>
      <c r="UYE1496" s="35"/>
      <c r="VHZ1496" s="35"/>
      <c r="VIA1496" s="35"/>
      <c r="VRV1496" s="35"/>
      <c r="VRW1496" s="35"/>
      <c r="WBR1496" s="35"/>
      <c r="WBS1496" s="35"/>
      <c r="WLN1496" s="35"/>
      <c r="WLO1496" s="35"/>
      <c r="WVJ1496" s="35"/>
      <c r="WVK1496" s="35"/>
    </row>
    <row r="1497" spans="1:771 1026:1795 2050:2819 3074:3843 4098:4867 5122:5891 6146:6915 7170:7939 8194:8963 9218:9987 10242:11011 11266:12035 12290:13059 13314:14083 14338:15107 15362:16131" s="35" customFormat="1" ht="55.2" x14ac:dyDescent="0.3">
      <c r="A1497" s="28">
        <v>142</v>
      </c>
      <c r="B1497" s="29" t="s">
        <v>1175</v>
      </c>
      <c r="C1497" s="30" t="s">
        <v>1177</v>
      </c>
      <c r="D1497" s="31" t="s">
        <v>13</v>
      </c>
      <c r="E1497" s="32">
        <v>10</v>
      </c>
      <c r="F1497" s="33"/>
      <c r="G1497" s="33"/>
      <c r="H1497" s="34" t="s">
        <v>1178</v>
      </c>
    </row>
    <row r="1498" spans="1:771 1026:1795 2050:2819 3074:3843 4098:4867 5122:5891 6146:6915 7170:7939 8194:8963 9218:9987 10242:11011 11266:12035 12290:13059 13314:14083 14338:15107 15362:16131" s="35" customFormat="1" ht="31.2" x14ac:dyDescent="0.3">
      <c r="A1498" s="36"/>
      <c r="B1498" s="72" t="s">
        <v>2313</v>
      </c>
      <c r="C1498" s="38" t="s">
        <v>14</v>
      </c>
      <c r="D1498" s="39"/>
      <c r="E1498" s="44"/>
      <c r="F1498" s="40"/>
      <c r="G1498" s="41">
        <f>SUM(G1499)</f>
        <v>194790000</v>
      </c>
      <c r="H1498" s="42"/>
    </row>
    <row r="1499" spans="1:771 1026:1795 2050:2819 3074:3843 4098:4867 5122:5891 6146:6915 7170:7939 8194:8963 9218:9987 10242:11011 11266:12035 12290:13059 13314:14083 14338:15107 15362:16131" s="35" customFormat="1" ht="78" x14ac:dyDescent="0.3">
      <c r="A1499" s="36"/>
      <c r="B1499" s="72" t="s">
        <v>1176</v>
      </c>
      <c r="C1499" s="48" t="s">
        <v>38</v>
      </c>
      <c r="D1499" s="39" t="s">
        <v>13</v>
      </c>
      <c r="E1499" s="44">
        <v>10</v>
      </c>
      <c r="F1499" s="153">
        <v>19479000</v>
      </c>
      <c r="G1499" s="40">
        <f>E1499*F1499</f>
        <v>194790000</v>
      </c>
      <c r="H1499" s="42"/>
    </row>
    <row r="1500" spans="1:771 1026:1795 2050:2819 3074:3843 4098:4867 5122:5891 6146:6915 7170:7939 8194:8963 9218:9987 10242:11011 11266:12035 12290:13059 13314:14083 14338:15107 15362:16131" s="35" customFormat="1" ht="65.400000000000006" thickBot="1" x14ac:dyDescent="0.35">
      <c r="A1500" s="53"/>
      <c r="B1500" s="54"/>
      <c r="C1500" s="55" t="s">
        <v>2331</v>
      </c>
      <c r="D1500" s="56"/>
      <c r="E1500" s="5"/>
      <c r="F1500" s="6"/>
      <c r="G1500" s="57"/>
      <c r="H1500" s="58"/>
    </row>
    <row r="1501" spans="1:771 1026:1795 2050:2819 3074:3843 4098:4867 5122:5891 6146:6915 7170:7939 8194:8963 9218:9987 10242:11011 11266:12035 12290:13059 13314:14083 14338:15107 15362:16131" s="59" customFormat="1" ht="31.8" thickBot="1" x14ac:dyDescent="0.35">
      <c r="A1501" s="154"/>
      <c r="B1501" s="155" t="s">
        <v>26</v>
      </c>
      <c r="C1501" s="156"/>
      <c r="D1501" s="154"/>
      <c r="E1501" s="157"/>
      <c r="F1501" s="158"/>
      <c r="G1501" s="159">
        <f>SUM(G1497:G1500)/2</f>
        <v>194790000</v>
      </c>
      <c r="H1501" s="160"/>
      <c r="IX1501" s="35"/>
      <c r="IY1501" s="35"/>
      <c r="ST1501" s="35"/>
      <c r="SU1501" s="35"/>
      <c r="ACP1501" s="35"/>
      <c r="ACQ1501" s="35"/>
      <c r="AML1501" s="35"/>
      <c r="AMM1501" s="35"/>
      <c r="AWH1501" s="35"/>
      <c r="AWI1501" s="35"/>
      <c r="BGD1501" s="35"/>
      <c r="BGE1501" s="35"/>
      <c r="BPZ1501" s="35"/>
      <c r="BQA1501" s="35"/>
      <c r="BZV1501" s="35"/>
      <c r="BZW1501" s="35"/>
      <c r="CJR1501" s="35"/>
      <c r="CJS1501" s="35"/>
      <c r="CTN1501" s="35"/>
      <c r="CTO1501" s="35"/>
      <c r="DDJ1501" s="35"/>
      <c r="DDK1501" s="35"/>
      <c r="DNF1501" s="35"/>
      <c r="DNG1501" s="35"/>
      <c r="DXB1501" s="35"/>
      <c r="DXC1501" s="35"/>
      <c r="EGX1501" s="35"/>
      <c r="EGY1501" s="35"/>
      <c r="EQT1501" s="35"/>
      <c r="EQU1501" s="35"/>
      <c r="FAP1501" s="35"/>
      <c r="FAQ1501" s="35"/>
      <c r="FKL1501" s="35"/>
      <c r="FKM1501" s="35"/>
      <c r="FUH1501" s="35"/>
      <c r="FUI1501" s="35"/>
      <c r="GED1501" s="35"/>
      <c r="GEE1501" s="35"/>
      <c r="GNZ1501" s="35"/>
      <c r="GOA1501" s="35"/>
      <c r="GXV1501" s="35"/>
      <c r="GXW1501" s="35"/>
      <c r="HHR1501" s="35"/>
      <c r="HHS1501" s="35"/>
      <c r="HRN1501" s="35"/>
      <c r="HRO1501" s="35"/>
      <c r="IBJ1501" s="35"/>
      <c r="IBK1501" s="35"/>
      <c r="ILF1501" s="35"/>
      <c r="ILG1501" s="35"/>
      <c r="IVB1501" s="35"/>
      <c r="IVC1501" s="35"/>
      <c r="JEX1501" s="35"/>
      <c r="JEY1501" s="35"/>
      <c r="JOT1501" s="35"/>
      <c r="JOU1501" s="35"/>
      <c r="JYP1501" s="35"/>
      <c r="JYQ1501" s="35"/>
      <c r="KIL1501" s="35"/>
      <c r="KIM1501" s="35"/>
      <c r="KSH1501" s="35"/>
      <c r="KSI1501" s="35"/>
      <c r="LCD1501" s="35"/>
      <c r="LCE1501" s="35"/>
      <c r="LLZ1501" s="35"/>
      <c r="LMA1501" s="35"/>
      <c r="LVV1501" s="35"/>
      <c r="LVW1501" s="35"/>
      <c r="MFR1501" s="35"/>
      <c r="MFS1501" s="35"/>
      <c r="MPN1501" s="35"/>
      <c r="MPO1501" s="35"/>
      <c r="MZJ1501" s="35"/>
      <c r="MZK1501" s="35"/>
      <c r="NJF1501" s="35"/>
      <c r="NJG1501" s="35"/>
      <c r="NTB1501" s="35"/>
      <c r="NTC1501" s="35"/>
      <c r="OCX1501" s="35"/>
      <c r="OCY1501" s="35"/>
      <c r="OMT1501" s="35"/>
      <c r="OMU1501" s="35"/>
      <c r="OWP1501" s="35"/>
      <c r="OWQ1501" s="35"/>
      <c r="PGL1501" s="35"/>
      <c r="PGM1501" s="35"/>
      <c r="PQH1501" s="35"/>
      <c r="PQI1501" s="35"/>
      <c r="QAD1501" s="35"/>
      <c r="QAE1501" s="35"/>
      <c r="QJZ1501" s="35"/>
      <c r="QKA1501" s="35"/>
      <c r="QTV1501" s="35"/>
      <c r="QTW1501" s="35"/>
      <c r="RDR1501" s="35"/>
      <c r="RDS1501" s="35"/>
      <c r="RNN1501" s="35"/>
      <c r="RNO1501" s="35"/>
      <c r="RXJ1501" s="35"/>
      <c r="RXK1501" s="35"/>
      <c r="SHF1501" s="35"/>
      <c r="SHG1501" s="35"/>
      <c r="SRB1501" s="35"/>
      <c r="SRC1501" s="35"/>
      <c r="TAX1501" s="35"/>
      <c r="TAY1501" s="35"/>
      <c r="TKT1501" s="35"/>
      <c r="TKU1501" s="35"/>
      <c r="TUP1501" s="35"/>
      <c r="TUQ1501" s="35"/>
      <c r="UEL1501" s="35"/>
      <c r="UEM1501" s="35"/>
      <c r="UOH1501" s="35"/>
      <c r="UOI1501" s="35"/>
      <c r="UYD1501" s="35"/>
      <c r="UYE1501" s="35"/>
      <c r="VHZ1501" s="35"/>
      <c r="VIA1501" s="35"/>
      <c r="VRV1501" s="35"/>
      <c r="VRW1501" s="35"/>
      <c r="WBR1501" s="35"/>
      <c r="WBS1501" s="35"/>
      <c r="WLN1501" s="35"/>
      <c r="WLO1501" s="35"/>
      <c r="WVJ1501" s="35"/>
      <c r="WVK1501" s="35"/>
    </row>
    <row r="1502" spans="1:771 1026:1795 2050:2819 3074:3843 4098:4867 5122:5891 6146:6915 7170:7939 8194:8963 9218:9987 10242:11011 11266:12035 12290:13059 13314:14083 14338:15107 15362:16131" s="35" customFormat="1" ht="55.2" x14ac:dyDescent="0.3">
      <c r="A1502" s="28">
        <v>143</v>
      </c>
      <c r="B1502" s="29" t="s">
        <v>1179</v>
      </c>
      <c r="C1502" s="30" t="s">
        <v>1184</v>
      </c>
      <c r="D1502" s="31" t="s">
        <v>13</v>
      </c>
      <c r="E1502" s="32">
        <v>8</v>
      </c>
      <c r="F1502" s="33"/>
      <c r="G1502" s="33"/>
      <c r="H1502" s="34" t="s">
        <v>1183</v>
      </c>
    </row>
    <row r="1503" spans="1:771 1026:1795 2050:2819 3074:3843 4098:4867 5122:5891 6146:6915 7170:7939 8194:8963 9218:9987 10242:11011 11266:12035 12290:13059 13314:14083 14338:15107 15362:16131" s="35" customFormat="1" x14ac:dyDescent="0.3">
      <c r="A1503" s="36"/>
      <c r="B1503" s="72" t="s">
        <v>1180</v>
      </c>
      <c r="C1503" s="38" t="s">
        <v>14</v>
      </c>
      <c r="D1503" s="39"/>
      <c r="E1503" s="44"/>
      <c r="F1503" s="40"/>
      <c r="G1503" s="41">
        <f>SUM(G1504)</f>
        <v>83232000</v>
      </c>
      <c r="H1503" s="42"/>
    </row>
    <row r="1504" spans="1:771 1026:1795 2050:2819 3074:3843 4098:4867 5122:5891 6146:6915 7170:7939 8194:8963 9218:9987 10242:11011 11266:12035 12290:13059 13314:14083 14338:15107 15362:16131" s="35" customFormat="1" ht="78" x14ac:dyDescent="0.3">
      <c r="A1504" s="36"/>
      <c r="B1504" s="72" t="s">
        <v>1181</v>
      </c>
      <c r="C1504" s="43" t="s">
        <v>55</v>
      </c>
      <c r="D1504" s="39" t="s">
        <v>13</v>
      </c>
      <c r="E1504" s="44">
        <v>8</v>
      </c>
      <c r="F1504" s="153">
        <v>10404000</v>
      </c>
      <c r="G1504" s="40">
        <f>E1504*F1504</f>
        <v>83232000</v>
      </c>
      <c r="H1504" s="42"/>
    </row>
    <row r="1505" spans="1:771 1026:1795 2050:2819 3074:3843 4098:4867 5122:5891 6146:6915 7170:7939 8194:8963 9218:9987 10242:11011 11266:12035 12290:13059 13314:14083 14338:15107 15362:16131" s="35" customFormat="1" x14ac:dyDescent="0.3">
      <c r="A1505" s="36"/>
      <c r="B1505" s="72" t="s">
        <v>1182</v>
      </c>
      <c r="C1505" s="51" t="s">
        <v>23</v>
      </c>
      <c r="D1505" s="39"/>
      <c r="E1505" s="1"/>
      <c r="F1505" s="2"/>
      <c r="G1505" s="41">
        <f>SUM(G1506)</f>
        <v>3060000</v>
      </c>
      <c r="H1505" s="52"/>
    </row>
    <row r="1506" spans="1:771 1026:1795 2050:2819 3074:3843 4098:4867 5122:5891 6146:6915 7170:7939 8194:8963 9218:9987 10242:11011 11266:12035 12290:13059 13314:14083 14338:15107 15362:16131" s="35" customFormat="1" x14ac:dyDescent="0.3">
      <c r="A1506" s="36"/>
      <c r="B1506" s="46"/>
      <c r="C1506" s="50" t="s">
        <v>24</v>
      </c>
      <c r="D1506" s="39" t="s">
        <v>25</v>
      </c>
      <c r="E1506" s="1">
        <f>1*30*6</f>
        <v>180</v>
      </c>
      <c r="F1506" s="2">
        <v>17000</v>
      </c>
      <c r="G1506" s="40">
        <f>E1506*F1506</f>
        <v>3060000</v>
      </c>
      <c r="H1506" s="42"/>
    </row>
    <row r="1507" spans="1:771 1026:1795 2050:2819 3074:3843 4098:4867 5122:5891 6146:6915 7170:7939 8194:8963 9218:9987 10242:11011 11266:12035 12290:13059 13314:14083 14338:15107 15362:16131" s="35" customFormat="1" ht="65.400000000000006" thickBot="1" x14ac:dyDescent="0.35">
      <c r="A1507" s="53"/>
      <c r="B1507" s="54"/>
      <c r="C1507" s="55" t="s">
        <v>2331</v>
      </c>
      <c r="D1507" s="56"/>
      <c r="E1507" s="5"/>
      <c r="F1507" s="6"/>
      <c r="G1507" s="57"/>
      <c r="H1507" s="58"/>
    </row>
    <row r="1508" spans="1:771 1026:1795 2050:2819 3074:3843 4098:4867 5122:5891 6146:6915 7170:7939 8194:8963 9218:9987 10242:11011 11266:12035 12290:13059 13314:14083 14338:15107 15362:16131" s="59" customFormat="1" ht="31.8" thickBot="1" x14ac:dyDescent="0.35">
      <c r="A1508" s="154"/>
      <c r="B1508" s="155" t="s">
        <v>26</v>
      </c>
      <c r="C1508" s="156"/>
      <c r="D1508" s="154"/>
      <c r="E1508" s="157"/>
      <c r="F1508" s="158"/>
      <c r="G1508" s="159">
        <f>SUM(G1502:G1507)/2</f>
        <v>86292000</v>
      </c>
      <c r="H1508" s="160"/>
      <c r="IX1508" s="35"/>
      <c r="IY1508" s="35"/>
      <c r="ST1508" s="35"/>
      <c r="SU1508" s="35"/>
      <c r="ACP1508" s="35"/>
      <c r="ACQ1508" s="35"/>
      <c r="AML1508" s="35"/>
      <c r="AMM1508" s="35"/>
      <c r="AWH1508" s="35"/>
      <c r="AWI1508" s="35"/>
      <c r="BGD1508" s="35"/>
      <c r="BGE1508" s="35"/>
      <c r="BPZ1508" s="35"/>
      <c r="BQA1508" s="35"/>
      <c r="BZV1508" s="35"/>
      <c r="BZW1508" s="35"/>
      <c r="CJR1508" s="35"/>
      <c r="CJS1508" s="35"/>
      <c r="CTN1508" s="35"/>
      <c r="CTO1508" s="35"/>
      <c r="DDJ1508" s="35"/>
      <c r="DDK1508" s="35"/>
      <c r="DNF1508" s="35"/>
      <c r="DNG1508" s="35"/>
      <c r="DXB1508" s="35"/>
      <c r="DXC1508" s="35"/>
      <c r="EGX1508" s="35"/>
      <c r="EGY1508" s="35"/>
      <c r="EQT1508" s="35"/>
      <c r="EQU1508" s="35"/>
      <c r="FAP1508" s="35"/>
      <c r="FAQ1508" s="35"/>
      <c r="FKL1508" s="35"/>
      <c r="FKM1508" s="35"/>
      <c r="FUH1508" s="35"/>
      <c r="FUI1508" s="35"/>
      <c r="GED1508" s="35"/>
      <c r="GEE1508" s="35"/>
      <c r="GNZ1508" s="35"/>
      <c r="GOA1508" s="35"/>
      <c r="GXV1508" s="35"/>
      <c r="GXW1508" s="35"/>
      <c r="HHR1508" s="35"/>
      <c r="HHS1508" s="35"/>
      <c r="HRN1508" s="35"/>
      <c r="HRO1508" s="35"/>
      <c r="IBJ1508" s="35"/>
      <c r="IBK1508" s="35"/>
      <c r="ILF1508" s="35"/>
      <c r="ILG1508" s="35"/>
      <c r="IVB1508" s="35"/>
      <c r="IVC1508" s="35"/>
      <c r="JEX1508" s="35"/>
      <c r="JEY1508" s="35"/>
      <c r="JOT1508" s="35"/>
      <c r="JOU1508" s="35"/>
      <c r="JYP1508" s="35"/>
      <c r="JYQ1508" s="35"/>
      <c r="KIL1508" s="35"/>
      <c r="KIM1508" s="35"/>
      <c r="KSH1508" s="35"/>
      <c r="KSI1508" s="35"/>
      <c r="LCD1508" s="35"/>
      <c r="LCE1508" s="35"/>
      <c r="LLZ1508" s="35"/>
      <c r="LMA1508" s="35"/>
      <c r="LVV1508" s="35"/>
      <c r="LVW1508" s="35"/>
      <c r="MFR1508" s="35"/>
      <c r="MFS1508" s="35"/>
      <c r="MPN1508" s="35"/>
      <c r="MPO1508" s="35"/>
      <c r="MZJ1508" s="35"/>
      <c r="MZK1508" s="35"/>
      <c r="NJF1508" s="35"/>
      <c r="NJG1508" s="35"/>
      <c r="NTB1508" s="35"/>
      <c r="NTC1508" s="35"/>
      <c r="OCX1508" s="35"/>
      <c r="OCY1508" s="35"/>
      <c r="OMT1508" s="35"/>
      <c r="OMU1508" s="35"/>
      <c r="OWP1508" s="35"/>
      <c r="OWQ1508" s="35"/>
      <c r="PGL1508" s="35"/>
      <c r="PGM1508" s="35"/>
      <c r="PQH1508" s="35"/>
      <c r="PQI1508" s="35"/>
      <c r="QAD1508" s="35"/>
      <c r="QAE1508" s="35"/>
      <c r="QJZ1508" s="35"/>
      <c r="QKA1508" s="35"/>
      <c r="QTV1508" s="35"/>
      <c r="QTW1508" s="35"/>
      <c r="RDR1508" s="35"/>
      <c r="RDS1508" s="35"/>
      <c r="RNN1508" s="35"/>
      <c r="RNO1508" s="35"/>
      <c r="RXJ1508" s="35"/>
      <c r="RXK1508" s="35"/>
      <c r="SHF1508" s="35"/>
      <c r="SHG1508" s="35"/>
      <c r="SRB1508" s="35"/>
      <c r="SRC1508" s="35"/>
      <c r="TAX1508" s="35"/>
      <c r="TAY1508" s="35"/>
      <c r="TKT1508" s="35"/>
      <c r="TKU1508" s="35"/>
      <c r="TUP1508" s="35"/>
      <c r="TUQ1508" s="35"/>
      <c r="UEL1508" s="35"/>
      <c r="UEM1508" s="35"/>
      <c r="UOH1508" s="35"/>
      <c r="UOI1508" s="35"/>
      <c r="UYD1508" s="35"/>
      <c r="UYE1508" s="35"/>
      <c r="VHZ1508" s="35"/>
      <c r="VIA1508" s="35"/>
      <c r="VRV1508" s="35"/>
      <c r="VRW1508" s="35"/>
      <c r="WBR1508" s="35"/>
      <c r="WBS1508" s="35"/>
      <c r="WLN1508" s="35"/>
      <c r="WLO1508" s="35"/>
      <c r="WVJ1508" s="35"/>
      <c r="WVK1508" s="35"/>
    </row>
    <row r="1509" spans="1:771 1026:1795 2050:2819 3074:3843 4098:4867 5122:5891 6146:6915 7170:7939 8194:8963 9218:9987 10242:11011 11266:12035 12290:13059 13314:14083 14338:15107 15362:16131" s="35" customFormat="1" ht="55.2" x14ac:dyDescent="0.3">
      <c r="A1509" s="28">
        <v>144</v>
      </c>
      <c r="B1509" s="29" t="s">
        <v>1185</v>
      </c>
      <c r="C1509" s="30" t="s">
        <v>1189</v>
      </c>
      <c r="D1509" s="31" t="s">
        <v>13</v>
      </c>
      <c r="E1509" s="32">
        <v>14</v>
      </c>
      <c r="F1509" s="33"/>
      <c r="G1509" s="33"/>
      <c r="H1509" s="34" t="s">
        <v>1190</v>
      </c>
    </row>
    <row r="1510" spans="1:771 1026:1795 2050:2819 3074:3843 4098:4867 5122:5891 6146:6915 7170:7939 8194:8963 9218:9987 10242:11011 11266:12035 12290:13059 13314:14083 14338:15107 15362:16131" s="35" customFormat="1" x14ac:dyDescent="0.3">
      <c r="A1510" s="36"/>
      <c r="B1510" s="72" t="s">
        <v>1186</v>
      </c>
      <c r="C1510" s="38" t="s">
        <v>14</v>
      </c>
      <c r="D1510" s="39"/>
      <c r="E1510" s="44"/>
      <c r="F1510" s="40"/>
      <c r="G1510" s="41">
        <f>SUM(G1511)</f>
        <v>272706000</v>
      </c>
      <c r="H1510" s="42"/>
    </row>
    <row r="1511" spans="1:771 1026:1795 2050:2819 3074:3843 4098:4867 5122:5891 6146:6915 7170:7939 8194:8963 9218:9987 10242:11011 11266:12035 12290:13059 13314:14083 14338:15107 15362:16131" s="35" customFormat="1" ht="78" x14ac:dyDescent="0.3">
      <c r="A1511" s="36"/>
      <c r="B1511" s="72" t="s">
        <v>1187</v>
      </c>
      <c r="C1511" s="48" t="s">
        <v>38</v>
      </c>
      <c r="D1511" s="39" t="s">
        <v>13</v>
      </c>
      <c r="E1511" s="44">
        <v>14</v>
      </c>
      <c r="F1511" s="161">
        <v>19479000</v>
      </c>
      <c r="G1511" s="40">
        <f>E1511*F1511</f>
        <v>272706000</v>
      </c>
      <c r="H1511" s="42"/>
    </row>
    <row r="1512" spans="1:771 1026:1795 2050:2819 3074:3843 4098:4867 5122:5891 6146:6915 7170:7939 8194:8963 9218:9987 10242:11011 11266:12035 12290:13059 13314:14083 14338:15107 15362:16131" s="35" customFormat="1" x14ac:dyDescent="0.3">
      <c r="A1512" s="36"/>
      <c r="B1512" s="72" t="s">
        <v>1188</v>
      </c>
      <c r="C1512" s="47" t="s">
        <v>35</v>
      </c>
      <c r="D1512" s="39"/>
      <c r="E1512" s="73"/>
      <c r="F1512" s="40"/>
      <c r="G1512" s="41">
        <f>SUM(G1513:G1515)</f>
        <v>11729840</v>
      </c>
      <c r="H1512" s="45"/>
    </row>
    <row r="1513" spans="1:771 1026:1795 2050:2819 3074:3843 4098:4867 5122:5891 6146:6915 7170:7939 8194:8963 9218:9987 10242:11011 11266:12035 12290:13059 13314:14083 14338:15107 15362:16131" s="77" customFormat="1" ht="78" x14ac:dyDescent="0.3">
      <c r="A1513" s="36"/>
      <c r="B1513" s="75"/>
      <c r="C1513" s="66" t="s">
        <v>1191</v>
      </c>
      <c r="D1513" s="39" t="s">
        <v>13</v>
      </c>
      <c r="E1513" s="73">
        <v>0.82</v>
      </c>
      <c r="F1513" s="74">
        <v>3592000</v>
      </c>
      <c r="G1513" s="40">
        <f>E1513*F1513</f>
        <v>2945440</v>
      </c>
      <c r="H1513" s="45" t="s">
        <v>2492</v>
      </c>
    </row>
    <row r="1514" spans="1:771 1026:1795 2050:2819 3074:3843 4098:4867 5122:5891 6146:6915 7170:7939 8194:8963 9218:9987 10242:11011 11266:12035 12290:13059 13314:14083 14338:15107 15362:16131" s="77" customFormat="1" ht="31.2" x14ac:dyDescent="0.3">
      <c r="A1514" s="36"/>
      <c r="B1514" s="75"/>
      <c r="C1514" s="66" t="s">
        <v>1192</v>
      </c>
      <c r="D1514" s="39" t="s">
        <v>13</v>
      </c>
      <c r="E1514" s="73">
        <f>2*1.3</f>
        <v>2.6</v>
      </c>
      <c r="F1514" s="40">
        <v>122000</v>
      </c>
      <c r="G1514" s="40">
        <f>E1514*F1514</f>
        <v>317200</v>
      </c>
      <c r="H1514" s="45" t="s">
        <v>1193</v>
      </c>
    </row>
    <row r="1515" spans="1:771 1026:1795 2050:2819 3074:3843 4098:4867 5122:5891 6146:6915 7170:7939 8194:8963 9218:9987 10242:11011 11266:12035 12290:13059 13314:14083 14338:15107 15362:16131" s="77" customFormat="1" ht="41.4" x14ac:dyDescent="0.3">
      <c r="A1515" s="36"/>
      <c r="B1515" s="75"/>
      <c r="C1515" s="66" t="s">
        <v>1194</v>
      </c>
      <c r="D1515" s="39" t="s">
        <v>13</v>
      </c>
      <c r="E1515" s="73">
        <v>15.68</v>
      </c>
      <c r="F1515" s="74">
        <v>540000</v>
      </c>
      <c r="G1515" s="40">
        <f>E1515*F1515</f>
        <v>8467200</v>
      </c>
      <c r="H1515" s="45" t="s">
        <v>2493</v>
      </c>
    </row>
    <row r="1516" spans="1:771 1026:1795 2050:2819 3074:3843 4098:4867 5122:5891 6146:6915 7170:7939 8194:8963 9218:9987 10242:11011 11266:12035 12290:13059 13314:14083 14338:15107 15362:16131" s="35" customFormat="1" x14ac:dyDescent="0.3">
      <c r="A1516" s="36"/>
      <c r="B1516" s="46"/>
      <c r="C1516" s="51" t="s">
        <v>20</v>
      </c>
      <c r="D1516" s="39"/>
      <c r="E1516" s="44"/>
      <c r="F1516" s="40"/>
      <c r="G1516" s="41">
        <f>SUM(G1517:G1520)</f>
        <v>1870000</v>
      </c>
      <c r="H1516" s="52"/>
    </row>
    <row r="1517" spans="1:771 1026:1795 2050:2819 3074:3843 4098:4867 5122:5891 6146:6915 7170:7939 8194:8963 9218:9987 10242:11011 11266:12035 12290:13059 13314:14083 14338:15107 15362:16131" s="77" customFormat="1" x14ac:dyDescent="0.3">
      <c r="A1517" s="36"/>
      <c r="B1517" s="37"/>
      <c r="C1517" s="75" t="s">
        <v>1195</v>
      </c>
      <c r="D1517" s="76" t="s">
        <v>21</v>
      </c>
      <c r="E1517" s="73">
        <v>2</v>
      </c>
      <c r="F1517" s="74">
        <v>800000</v>
      </c>
      <c r="G1517" s="40">
        <f>E1517*F1517</f>
        <v>1600000</v>
      </c>
      <c r="H1517" s="52"/>
    </row>
    <row r="1518" spans="1:771 1026:1795 2050:2819 3074:3843 4098:4867 5122:5891 6146:6915 7170:7939 8194:8963 9218:9987 10242:11011 11266:12035 12290:13059 13314:14083 14338:15107 15362:16131" s="77" customFormat="1" x14ac:dyDescent="0.3">
      <c r="A1518" s="36"/>
      <c r="B1518" s="37"/>
      <c r="C1518" s="75" t="s">
        <v>1196</v>
      </c>
      <c r="D1518" s="76" t="s">
        <v>21</v>
      </c>
      <c r="E1518" s="73">
        <v>1</v>
      </c>
      <c r="F1518" s="74">
        <v>150000</v>
      </c>
      <c r="G1518" s="40">
        <f>E1518*F1518</f>
        <v>150000</v>
      </c>
      <c r="H1518" s="52"/>
    </row>
    <row r="1519" spans="1:771 1026:1795 2050:2819 3074:3843 4098:4867 5122:5891 6146:6915 7170:7939 8194:8963 9218:9987 10242:11011 11266:12035 12290:13059 13314:14083 14338:15107 15362:16131" s="35" customFormat="1" x14ac:dyDescent="0.3">
      <c r="A1519" s="36"/>
      <c r="B1519" s="46"/>
      <c r="C1519" s="75" t="s">
        <v>1197</v>
      </c>
      <c r="D1519" s="76" t="s">
        <v>22</v>
      </c>
      <c r="E1519" s="44">
        <v>3</v>
      </c>
      <c r="F1519" s="74">
        <v>20000</v>
      </c>
      <c r="G1519" s="40">
        <f>E1519*F1519</f>
        <v>60000</v>
      </c>
      <c r="H1519" s="52"/>
    </row>
    <row r="1520" spans="1:771 1026:1795 2050:2819 3074:3843 4098:4867 5122:5891 6146:6915 7170:7939 8194:8963 9218:9987 10242:11011 11266:12035 12290:13059 13314:14083 14338:15107 15362:16131" s="35" customFormat="1" x14ac:dyDescent="0.3">
      <c r="A1520" s="36"/>
      <c r="B1520" s="46"/>
      <c r="C1520" s="75" t="s">
        <v>1198</v>
      </c>
      <c r="D1520" s="76" t="s">
        <v>22</v>
      </c>
      <c r="E1520" s="44">
        <v>3</v>
      </c>
      <c r="F1520" s="74">
        <v>20000</v>
      </c>
      <c r="G1520" s="40">
        <f>E1520*F1520</f>
        <v>60000</v>
      </c>
      <c r="H1520" s="52"/>
    </row>
    <row r="1521" spans="1:771 1026:1795 2050:2819 3074:3843 4098:4867 5122:5891 6146:6915 7170:7939 8194:8963 9218:9987 10242:11011 11266:12035 12290:13059 13314:14083 14338:15107 15362:16131" s="35" customFormat="1" ht="65.400000000000006" thickBot="1" x14ac:dyDescent="0.35">
      <c r="A1521" s="53"/>
      <c r="B1521" s="54"/>
      <c r="C1521" s="55" t="s">
        <v>2331</v>
      </c>
      <c r="D1521" s="56"/>
      <c r="E1521" s="5"/>
      <c r="F1521" s="6"/>
      <c r="G1521" s="57"/>
      <c r="H1521" s="58"/>
    </row>
    <row r="1522" spans="1:771 1026:1795 2050:2819 3074:3843 4098:4867 5122:5891 6146:6915 7170:7939 8194:8963 9218:9987 10242:11011 11266:12035 12290:13059 13314:14083 14338:15107 15362:16131" s="59" customFormat="1" ht="31.8" thickBot="1" x14ac:dyDescent="0.35">
      <c r="A1522" s="154"/>
      <c r="B1522" s="155" t="s">
        <v>26</v>
      </c>
      <c r="C1522" s="156"/>
      <c r="D1522" s="154"/>
      <c r="E1522" s="157"/>
      <c r="F1522" s="158"/>
      <c r="G1522" s="159">
        <f>SUM(G1509:G1521)/2</f>
        <v>286305840</v>
      </c>
      <c r="H1522" s="160"/>
      <c r="IX1522" s="35"/>
      <c r="IY1522" s="35"/>
      <c r="ST1522" s="35"/>
      <c r="SU1522" s="35"/>
      <c r="ACP1522" s="35"/>
      <c r="ACQ1522" s="35"/>
      <c r="AML1522" s="35"/>
      <c r="AMM1522" s="35"/>
      <c r="AWH1522" s="35"/>
      <c r="AWI1522" s="35"/>
      <c r="BGD1522" s="35"/>
      <c r="BGE1522" s="35"/>
      <c r="BPZ1522" s="35"/>
      <c r="BQA1522" s="35"/>
      <c r="BZV1522" s="35"/>
      <c r="BZW1522" s="35"/>
      <c r="CJR1522" s="35"/>
      <c r="CJS1522" s="35"/>
      <c r="CTN1522" s="35"/>
      <c r="CTO1522" s="35"/>
      <c r="DDJ1522" s="35"/>
      <c r="DDK1522" s="35"/>
      <c r="DNF1522" s="35"/>
      <c r="DNG1522" s="35"/>
      <c r="DXB1522" s="35"/>
      <c r="DXC1522" s="35"/>
      <c r="EGX1522" s="35"/>
      <c r="EGY1522" s="35"/>
      <c r="EQT1522" s="35"/>
      <c r="EQU1522" s="35"/>
      <c r="FAP1522" s="35"/>
      <c r="FAQ1522" s="35"/>
      <c r="FKL1522" s="35"/>
      <c r="FKM1522" s="35"/>
      <c r="FUH1522" s="35"/>
      <c r="FUI1522" s="35"/>
      <c r="GED1522" s="35"/>
      <c r="GEE1522" s="35"/>
      <c r="GNZ1522" s="35"/>
      <c r="GOA1522" s="35"/>
      <c r="GXV1522" s="35"/>
      <c r="GXW1522" s="35"/>
      <c r="HHR1522" s="35"/>
      <c r="HHS1522" s="35"/>
      <c r="HRN1522" s="35"/>
      <c r="HRO1522" s="35"/>
      <c r="IBJ1522" s="35"/>
      <c r="IBK1522" s="35"/>
      <c r="ILF1522" s="35"/>
      <c r="ILG1522" s="35"/>
      <c r="IVB1522" s="35"/>
      <c r="IVC1522" s="35"/>
      <c r="JEX1522" s="35"/>
      <c r="JEY1522" s="35"/>
      <c r="JOT1522" s="35"/>
      <c r="JOU1522" s="35"/>
      <c r="JYP1522" s="35"/>
      <c r="JYQ1522" s="35"/>
      <c r="KIL1522" s="35"/>
      <c r="KIM1522" s="35"/>
      <c r="KSH1522" s="35"/>
      <c r="KSI1522" s="35"/>
      <c r="LCD1522" s="35"/>
      <c r="LCE1522" s="35"/>
      <c r="LLZ1522" s="35"/>
      <c r="LMA1522" s="35"/>
      <c r="LVV1522" s="35"/>
      <c r="LVW1522" s="35"/>
      <c r="MFR1522" s="35"/>
      <c r="MFS1522" s="35"/>
      <c r="MPN1522" s="35"/>
      <c r="MPO1522" s="35"/>
      <c r="MZJ1522" s="35"/>
      <c r="MZK1522" s="35"/>
      <c r="NJF1522" s="35"/>
      <c r="NJG1522" s="35"/>
      <c r="NTB1522" s="35"/>
      <c r="NTC1522" s="35"/>
      <c r="OCX1522" s="35"/>
      <c r="OCY1522" s="35"/>
      <c r="OMT1522" s="35"/>
      <c r="OMU1522" s="35"/>
      <c r="OWP1522" s="35"/>
      <c r="OWQ1522" s="35"/>
      <c r="PGL1522" s="35"/>
      <c r="PGM1522" s="35"/>
      <c r="PQH1522" s="35"/>
      <c r="PQI1522" s="35"/>
      <c r="QAD1522" s="35"/>
      <c r="QAE1522" s="35"/>
      <c r="QJZ1522" s="35"/>
      <c r="QKA1522" s="35"/>
      <c r="QTV1522" s="35"/>
      <c r="QTW1522" s="35"/>
      <c r="RDR1522" s="35"/>
      <c r="RDS1522" s="35"/>
      <c r="RNN1522" s="35"/>
      <c r="RNO1522" s="35"/>
      <c r="RXJ1522" s="35"/>
      <c r="RXK1522" s="35"/>
      <c r="SHF1522" s="35"/>
      <c r="SHG1522" s="35"/>
      <c r="SRB1522" s="35"/>
      <c r="SRC1522" s="35"/>
      <c r="TAX1522" s="35"/>
      <c r="TAY1522" s="35"/>
      <c r="TKT1522" s="35"/>
      <c r="TKU1522" s="35"/>
      <c r="TUP1522" s="35"/>
      <c r="TUQ1522" s="35"/>
      <c r="UEL1522" s="35"/>
      <c r="UEM1522" s="35"/>
      <c r="UOH1522" s="35"/>
      <c r="UOI1522" s="35"/>
      <c r="UYD1522" s="35"/>
      <c r="UYE1522" s="35"/>
      <c r="VHZ1522" s="35"/>
      <c r="VIA1522" s="35"/>
      <c r="VRV1522" s="35"/>
      <c r="VRW1522" s="35"/>
      <c r="WBR1522" s="35"/>
      <c r="WBS1522" s="35"/>
      <c r="WLN1522" s="35"/>
      <c r="WLO1522" s="35"/>
      <c r="WVJ1522" s="35"/>
      <c r="WVK1522" s="35"/>
    </row>
    <row r="1523" spans="1:771 1026:1795 2050:2819 3074:3843 4098:4867 5122:5891 6146:6915 7170:7939 8194:8963 9218:9987 10242:11011 11266:12035 12290:13059 13314:14083 14338:15107 15362:16131" s="35" customFormat="1" ht="55.2" x14ac:dyDescent="0.3">
      <c r="A1523" s="28">
        <v>145</v>
      </c>
      <c r="B1523" s="29" t="s">
        <v>1199</v>
      </c>
      <c r="C1523" s="30" t="s">
        <v>1203</v>
      </c>
      <c r="D1523" s="31" t="s">
        <v>13</v>
      </c>
      <c r="E1523" s="32">
        <v>16.100000000000001</v>
      </c>
      <c r="F1523" s="33"/>
      <c r="G1523" s="33"/>
      <c r="H1523" s="34" t="s">
        <v>1202</v>
      </c>
    </row>
    <row r="1524" spans="1:771 1026:1795 2050:2819 3074:3843 4098:4867 5122:5891 6146:6915 7170:7939 8194:8963 9218:9987 10242:11011 11266:12035 12290:13059 13314:14083 14338:15107 15362:16131" s="35" customFormat="1" x14ac:dyDescent="0.3">
      <c r="A1524" s="36"/>
      <c r="B1524" s="72" t="s">
        <v>1200</v>
      </c>
      <c r="C1524" s="38" t="s">
        <v>14</v>
      </c>
      <c r="D1524" s="39"/>
      <c r="E1524" s="44"/>
      <c r="F1524" s="40"/>
      <c r="G1524" s="41">
        <f>SUM(G1525)</f>
        <v>313611900</v>
      </c>
      <c r="H1524" s="42"/>
    </row>
    <row r="1525" spans="1:771 1026:1795 2050:2819 3074:3843 4098:4867 5122:5891 6146:6915 7170:7939 8194:8963 9218:9987 10242:11011 11266:12035 12290:13059 13314:14083 14338:15107 15362:16131" s="35" customFormat="1" ht="78" x14ac:dyDescent="0.3">
      <c r="A1525" s="36"/>
      <c r="B1525" s="72" t="s">
        <v>1201</v>
      </c>
      <c r="C1525" s="48" t="s">
        <v>38</v>
      </c>
      <c r="D1525" s="39" t="s">
        <v>13</v>
      </c>
      <c r="E1525" s="44">
        <v>16.100000000000001</v>
      </c>
      <c r="F1525" s="153">
        <v>19479000</v>
      </c>
      <c r="G1525" s="40">
        <f>E1525*F1525</f>
        <v>313611900</v>
      </c>
      <c r="H1525" s="42"/>
    </row>
    <row r="1526" spans="1:771 1026:1795 2050:2819 3074:3843 4098:4867 5122:5891 6146:6915 7170:7939 8194:8963 9218:9987 10242:11011 11266:12035 12290:13059 13314:14083 14338:15107 15362:16131" s="35" customFormat="1" x14ac:dyDescent="0.3">
      <c r="A1526" s="36"/>
      <c r="B1526" s="50"/>
      <c r="C1526" s="47" t="s">
        <v>35</v>
      </c>
      <c r="D1526" s="39"/>
      <c r="E1526" s="73"/>
      <c r="F1526" s="40"/>
      <c r="G1526" s="41">
        <f>SUM(G1527:G1529)</f>
        <v>17840390</v>
      </c>
      <c r="H1526" s="45"/>
    </row>
    <row r="1527" spans="1:771 1026:1795 2050:2819 3074:3843 4098:4867 5122:5891 6146:6915 7170:7939 8194:8963 9218:9987 10242:11011 11266:12035 12290:13059 13314:14083 14338:15107 15362:16131" s="77" customFormat="1" ht="78" x14ac:dyDescent="0.3">
      <c r="A1527" s="36"/>
      <c r="B1527" s="75"/>
      <c r="C1527" s="66" t="s">
        <v>1204</v>
      </c>
      <c r="D1527" s="39" t="s">
        <v>13</v>
      </c>
      <c r="E1527" s="73">
        <v>2.6</v>
      </c>
      <c r="F1527" s="74">
        <v>3592000</v>
      </c>
      <c r="G1527" s="40">
        <f>E1527*F1527</f>
        <v>9339200</v>
      </c>
      <c r="H1527" s="45" t="s">
        <v>2494</v>
      </c>
    </row>
    <row r="1528" spans="1:771 1026:1795 2050:2819 3074:3843 4098:4867 5122:5891 6146:6915 7170:7939 8194:8963 9218:9987 10242:11011 11266:12035 12290:13059 13314:14083 14338:15107 15362:16131" s="77" customFormat="1" ht="46.8" x14ac:dyDescent="0.3">
      <c r="A1528" s="36"/>
      <c r="B1528" s="75"/>
      <c r="C1528" s="66" t="s">
        <v>1205</v>
      </c>
      <c r="D1528" s="39" t="s">
        <v>13</v>
      </c>
      <c r="E1528" s="73">
        <v>6.45</v>
      </c>
      <c r="F1528" s="74">
        <v>907000</v>
      </c>
      <c r="G1528" s="40">
        <f>E1528*F1528</f>
        <v>5850150</v>
      </c>
      <c r="H1528" s="45" t="s">
        <v>2495</v>
      </c>
    </row>
    <row r="1529" spans="1:771 1026:1795 2050:2819 3074:3843 4098:4867 5122:5891 6146:6915 7170:7939 8194:8963 9218:9987 10242:11011 11266:12035 12290:13059 13314:14083 14338:15107 15362:16131" s="77" customFormat="1" ht="31.2" x14ac:dyDescent="0.3">
      <c r="A1529" s="36"/>
      <c r="B1529" s="75"/>
      <c r="C1529" s="66" t="s">
        <v>1206</v>
      </c>
      <c r="D1529" s="39" t="s">
        <v>13</v>
      </c>
      <c r="E1529" s="73">
        <v>3.36</v>
      </c>
      <c r="F1529" s="74">
        <v>789000</v>
      </c>
      <c r="G1529" s="40">
        <f>E1529*F1529</f>
        <v>2651040</v>
      </c>
      <c r="H1529" s="45" t="s">
        <v>2375</v>
      </c>
    </row>
    <row r="1530" spans="1:771 1026:1795 2050:2819 3074:3843 4098:4867 5122:5891 6146:6915 7170:7939 8194:8963 9218:9987 10242:11011 11266:12035 12290:13059 13314:14083 14338:15107 15362:16131" s="35" customFormat="1" ht="65.400000000000006" thickBot="1" x14ac:dyDescent="0.35">
      <c r="A1530" s="53"/>
      <c r="B1530" s="54"/>
      <c r="C1530" s="55" t="s">
        <v>2331</v>
      </c>
      <c r="D1530" s="56"/>
      <c r="E1530" s="5"/>
      <c r="F1530" s="6"/>
      <c r="G1530" s="57"/>
      <c r="H1530" s="58"/>
    </row>
    <row r="1531" spans="1:771 1026:1795 2050:2819 3074:3843 4098:4867 5122:5891 6146:6915 7170:7939 8194:8963 9218:9987 10242:11011 11266:12035 12290:13059 13314:14083 14338:15107 15362:16131" s="59" customFormat="1" ht="31.8" thickBot="1" x14ac:dyDescent="0.35">
      <c r="A1531" s="154"/>
      <c r="B1531" s="155" t="s">
        <v>26</v>
      </c>
      <c r="C1531" s="156"/>
      <c r="D1531" s="154"/>
      <c r="E1531" s="157"/>
      <c r="F1531" s="158"/>
      <c r="G1531" s="159">
        <f>SUM(G1523:G1530)/2</f>
        <v>331452290</v>
      </c>
      <c r="H1531" s="160"/>
      <c r="IX1531" s="35"/>
      <c r="IY1531" s="35"/>
      <c r="ST1531" s="35"/>
      <c r="SU1531" s="35"/>
      <c r="ACP1531" s="35"/>
      <c r="ACQ1531" s="35"/>
      <c r="AML1531" s="35"/>
      <c r="AMM1531" s="35"/>
      <c r="AWH1531" s="35"/>
      <c r="AWI1531" s="35"/>
      <c r="BGD1531" s="35"/>
      <c r="BGE1531" s="35"/>
      <c r="BPZ1531" s="35"/>
      <c r="BQA1531" s="35"/>
      <c r="BZV1531" s="35"/>
      <c r="BZW1531" s="35"/>
      <c r="CJR1531" s="35"/>
      <c r="CJS1531" s="35"/>
      <c r="CTN1531" s="35"/>
      <c r="CTO1531" s="35"/>
      <c r="DDJ1531" s="35"/>
      <c r="DDK1531" s="35"/>
      <c r="DNF1531" s="35"/>
      <c r="DNG1531" s="35"/>
      <c r="DXB1531" s="35"/>
      <c r="DXC1531" s="35"/>
      <c r="EGX1531" s="35"/>
      <c r="EGY1531" s="35"/>
      <c r="EQT1531" s="35"/>
      <c r="EQU1531" s="35"/>
      <c r="FAP1531" s="35"/>
      <c r="FAQ1531" s="35"/>
      <c r="FKL1531" s="35"/>
      <c r="FKM1531" s="35"/>
      <c r="FUH1531" s="35"/>
      <c r="FUI1531" s="35"/>
      <c r="GED1531" s="35"/>
      <c r="GEE1531" s="35"/>
      <c r="GNZ1531" s="35"/>
      <c r="GOA1531" s="35"/>
      <c r="GXV1531" s="35"/>
      <c r="GXW1531" s="35"/>
      <c r="HHR1531" s="35"/>
      <c r="HHS1531" s="35"/>
      <c r="HRN1531" s="35"/>
      <c r="HRO1531" s="35"/>
      <c r="IBJ1531" s="35"/>
      <c r="IBK1531" s="35"/>
      <c r="ILF1531" s="35"/>
      <c r="ILG1531" s="35"/>
      <c r="IVB1531" s="35"/>
      <c r="IVC1531" s="35"/>
      <c r="JEX1531" s="35"/>
      <c r="JEY1531" s="35"/>
      <c r="JOT1531" s="35"/>
      <c r="JOU1531" s="35"/>
      <c r="JYP1531" s="35"/>
      <c r="JYQ1531" s="35"/>
      <c r="KIL1531" s="35"/>
      <c r="KIM1531" s="35"/>
      <c r="KSH1531" s="35"/>
      <c r="KSI1531" s="35"/>
      <c r="LCD1531" s="35"/>
      <c r="LCE1531" s="35"/>
      <c r="LLZ1531" s="35"/>
      <c r="LMA1531" s="35"/>
      <c r="LVV1531" s="35"/>
      <c r="LVW1531" s="35"/>
      <c r="MFR1531" s="35"/>
      <c r="MFS1531" s="35"/>
      <c r="MPN1531" s="35"/>
      <c r="MPO1531" s="35"/>
      <c r="MZJ1531" s="35"/>
      <c r="MZK1531" s="35"/>
      <c r="NJF1531" s="35"/>
      <c r="NJG1531" s="35"/>
      <c r="NTB1531" s="35"/>
      <c r="NTC1531" s="35"/>
      <c r="OCX1531" s="35"/>
      <c r="OCY1531" s="35"/>
      <c r="OMT1531" s="35"/>
      <c r="OMU1531" s="35"/>
      <c r="OWP1531" s="35"/>
      <c r="OWQ1531" s="35"/>
      <c r="PGL1531" s="35"/>
      <c r="PGM1531" s="35"/>
      <c r="PQH1531" s="35"/>
      <c r="PQI1531" s="35"/>
      <c r="QAD1531" s="35"/>
      <c r="QAE1531" s="35"/>
      <c r="QJZ1531" s="35"/>
      <c r="QKA1531" s="35"/>
      <c r="QTV1531" s="35"/>
      <c r="QTW1531" s="35"/>
      <c r="RDR1531" s="35"/>
      <c r="RDS1531" s="35"/>
      <c r="RNN1531" s="35"/>
      <c r="RNO1531" s="35"/>
      <c r="RXJ1531" s="35"/>
      <c r="RXK1531" s="35"/>
      <c r="SHF1531" s="35"/>
      <c r="SHG1531" s="35"/>
      <c r="SRB1531" s="35"/>
      <c r="SRC1531" s="35"/>
      <c r="TAX1531" s="35"/>
      <c r="TAY1531" s="35"/>
      <c r="TKT1531" s="35"/>
      <c r="TKU1531" s="35"/>
      <c r="TUP1531" s="35"/>
      <c r="TUQ1531" s="35"/>
      <c r="UEL1531" s="35"/>
      <c r="UEM1531" s="35"/>
      <c r="UOH1531" s="35"/>
      <c r="UOI1531" s="35"/>
      <c r="UYD1531" s="35"/>
      <c r="UYE1531" s="35"/>
      <c r="VHZ1531" s="35"/>
      <c r="VIA1531" s="35"/>
      <c r="VRV1531" s="35"/>
      <c r="VRW1531" s="35"/>
      <c r="WBR1531" s="35"/>
      <c r="WBS1531" s="35"/>
      <c r="WLN1531" s="35"/>
      <c r="WLO1531" s="35"/>
      <c r="WVJ1531" s="35"/>
      <c r="WVK1531" s="35"/>
    </row>
    <row r="1532" spans="1:771 1026:1795 2050:2819 3074:3843 4098:4867 5122:5891 6146:6915 7170:7939 8194:8963 9218:9987 10242:11011 11266:12035 12290:13059 13314:14083 14338:15107 15362:16131" s="35" customFormat="1" ht="41.4" x14ac:dyDescent="0.3">
      <c r="A1532" s="28">
        <v>146</v>
      </c>
      <c r="B1532" s="29" t="s">
        <v>1207</v>
      </c>
      <c r="C1532" s="30" t="s">
        <v>1212</v>
      </c>
      <c r="D1532" s="31" t="s">
        <v>13</v>
      </c>
      <c r="E1532" s="32">
        <v>17.100000000000001</v>
      </c>
      <c r="F1532" s="33"/>
      <c r="G1532" s="33"/>
      <c r="H1532" s="34" t="s">
        <v>1211</v>
      </c>
    </row>
    <row r="1533" spans="1:771 1026:1795 2050:2819 3074:3843 4098:4867 5122:5891 6146:6915 7170:7939 8194:8963 9218:9987 10242:11011 11266:12035 12290:13059 13314:14083 14338:15107 15362:16131" s="35" customFormat="1" x14ac:dyDescent="0.3">
      <c r="A1533" s="36"/>
      <c r="B1533" s="72" t="s">
        <v>1208</v>
      </c>
      <c r="C1533" s="38" t="s">
        <v>14</v>
      </c>
      <c r="D1533" s="39"/>
      <c r="E1533" s="44"/>
      <c r="F1533" s="40"/>
      <c r="G1533" s="41">
        <f>SUM(G1534)</f>
        <v>333090900</v>
      </c>
      <c r="H1533" s="42"/>
    </row>
    <row r="1534" spans="1:771 1026:1795 2050:2819 3074:3843 4098:4867 5122:5891 6146:6915 7170:7939 8194:8963 9218:9987 10242:11011 11266:12035 12290:13059 13314:14083 14338:15107 15362:16131" s="35" customFormat="1" ht="78" x14ac:dyDescent="0.3">
      <c r="A1534" s="36"/>
      <c r="B1534" s="72" t="s">
        <v>1209</v>
      </c>
      <c r="C1534" s="48" t="s">
        <v>38</v>
      </c>
      <c r="D1534" s="39" t="s">
        <v>13</v>
      </c>
      <c r="E1534" s="44">
        <v>17.100000000000001</v>
      </c>
      <c r="F1534" s="161">
        <v>19479000</v>
      </c>
      <c r="G1534" s="40">
        <f>E1534*F1534</f>
        <v>333090900</v>
      </c>
      <c r="H1534" s="42"/>
    </row>
    <row r="1535" spans="1:771 1026:1795 2050:2819 3074:3843 4098:4867 5122:5891 6146:6915 7170:7939 8194:8963 9218:9987 10242:11011 11266:12035 12290:13059 13314:14083 14338:15107 15362:16131" s="35" customFormat="1" x14ac:dyDescent="0.3">
      <c r="A1535" s="36"/>
      <c r="B1535" s="72" t="s">
        <v>1210</v>
      </c>
      <c r="C1535" s="47" t="s">
        <v>35</v>
      </c>
      <c r="D1535" s="39"/>
      <c r="E1535" s="73"/>
      <c r="F1535" s="40"/>
      <c r="G1535" s="41">
        <f>SUM(G1536:G1542)</f>
        <v>13495972</v>
      </c>
      <c r="H1535" s="45"/>
    </row>
    <row r="1536" spans="1:771 1026:1795 2050:2819 3074:3843 4098:4867 5122:5891 6146:6915 7170:7939 8194:8963 9218:9987 10242:11011 11266:12035 12290:13059 13314:14083 14338:15107 15362:16131" s="77" customFormat="1" ht="46.8" x14ac:dyDescent="0.3">
      <c r="A1536" s="36"/>
      <c r="B1536" s="75"/>
      <c r="C1536" s="66" t="s">
        <v>1213</v>
      </c>
      <c r="D1536" s="39" t="s">
        <v>13</v>
      </c>
      <c r="E1536" s="73">
        <v>10.039999999999999</v>
      </c>
      <c r="F1536" s="74">
        <v>907000</v>
      </c>
      <c r="G1536" s="40">
        <f t="shared" ref="G1536:G1542" si="20">E1536*F1536</f>
        <v>9106280</v>
      </c>
      <c r="H1536" s="45" t="s">
        <v>2496</v>
      </c>
    </row>
    <row r="1537" spans="1:771 1026:1795 2050:2819 3074:3843 4098:4867 5122:5891 6146:6915 7170:7939 8194:8963 9218:9987 10242:11011 11266:12035 12290:13059 13314:14083 14338:15107 15362:16131" s="77" customFormat="1" ht="31.2" x14ac:dyDescent="0.3">
      <c r="A1537" s="36"/>
      <c r="B1537" s="75"/>
      <c r="C1537" s="66" t="s">
        <v>1214</v>
      </c>
      <c r="D1537" s="39" t="s">
        <v>13</v>
      </c>
      <c r="E1537" s="73">
        <v>1</v>
      </c>
      <c r="F1537" s="74">
        <v>789000</v>
      </c>
      <c r="G1537" s="40">
        <f t="shared" si="20"/>
        <v>789000</v>
      </c>
      <c r="H1537" s="45" t="s">
        <v>2375</v>
      </c>
    </row>
    <row r="1538" spans="1:771 1026:1795 2050:2819 3074:3843 4098:4867 5122:5891 6146:6915 7170:7939 8194:8963 9218:9987 10242:11011 11266:12035 12290:13059 13314:14083 14338:15107 15362:16131" s="77" customFormat="1" ht="18.600000000000001" x14ac:dyDescent="0.3">
      <c r="A1538" s="36"/>
      <c r="B1538" s="75"/>
      <c r="C1538" s="66" t="s">
        <v>1215</v>
      </c>
      <c r="D1538" s="39" t="s">
        <v>13</v>
      </c>
      <c r="E1538" s="73">
        <v>4.66</v>
      </c>
      <c r="F1538" s="74"/>
      <c r="G1538" s="40">
        <f t="shared" si="20"/>
        <v>0</v>
      </c>
      <c r="H1538" s="45"/>
    </row>
    <row r="1539" spans="1:771 1026:1795 2050:2819 3074:3843 4098:4867 5122:5891 6146:6915 7170:7939 8194:8963 9218:9987 10242:11011 11266:12035 12290:13059 13314:14083 14338:15107 15362:16131" s="77" customFormat="1" ht="18.600000000000001" x14ac:dyDescent="0.3">
      <c r="A1539" s="36"/>
      <c r="B1539" s="75"/>
      <c r="C1539" s="66" t="s">
        <v>232</v>
      </c>
      <c r="D1539" s="39" t="s">
        <v>104</v>
      </c>
      <c r="E1539" s="73">
        <v>0.41699999999999998</v>
      </c>
      <c r="F1539" s="40">
        <v>1946000</v>
      </c>
      <c r="G1539" s="40">
        <f t="shared" si="20"/>
        <v>811482</v>
      </c>
      <c r="H1539" s="45"/>
    </row>
    <row r="1540" spans="1:771 1026:1795 2050:2819 3074:3843 4098:4867 5122:5891 6146:6915 7170:7939 8194:8963 9218:9987 10242:11011 11266:12035 12290:13059 13314:14083 14338:15107 15362:16131" s="77" customFormat="1" ht="18.600000000000001" x14ac:dyDescent="0.3">
      <c r="A1540" s="36"/>
      <c r="B1540" s="75"/>
      <c r="C1540" s="66" t="s">
        <v>188</v>
      </c>
      <c r="D1540" s="39" t="s">
        <v>13</v>
      </c>
      <c r="E1540" s="73">
        <v>5.52</v>
      </c>
      <c r="F1540" s="74">
        <v>107000</v>
      </c>
      <c r="G1540" s="40">
        <f t="shared" si="20"/>
        <v>590640</v>
      </c>
      <c r="H1540" s="45"/>
    </row>
    <row r="1541" spans="1:771 1026:1795 2050:2819 3074:3843 4098:4867 5122:5891 6146:6915 7170:7939 8194:8963 9218:9987 10242:11011 11266:12035 12290:13059 13314:14083 14338:15107 15362:16131" s="77" customFormat="1" ht="18.600000000000001" x14ac:dyDescent="0.3">
      <c r="A1541" s="36"/>
      <c r="B1541" s="75"/>
      <c r="C1541" s="66" t="s">
        <v>115</v>
      </c>
      <c r="D1541" s="39" t="s">
        <v>13</v>
      </c>
      <c r="E1541" s="73">
        <v>6.21</v>
      </c>
      <c r="F1541" s="40">
        <v>100000</v>
      </c>
      <c r="G1541" s="40">
        <f t="shared" si="20"/>
        <v>621000</v>
      </c>
      <c r="H1541" s="45"/>
    </row>
    <row r="1542" spans="1:771 1026:1795 2050:2819 3074:3843 4098:4867 5122:5891 6146:6915 7170:7939 8194:8963 9218:9987 10242:11011 11266:12035 12290:13059 13314:14083 14338:15107 15362:16131" s="77" customFormat="1" ht="31.2" x14ac:dyDescent="0.3">
      <c r="A1542" s="36"/>
      <c r="B1542" s="75"/>
      <c r="C1542" s="66" t="s">
        <v>1216</v>
      </c>
      <c r="D1542" s="39" t="s">
        <v>13</v>
      </c>
      <c r="E1542" s="73">
        <v>4.37</v>
      </c>
      <c r="F1542" s="40">
        <v>361000</v>
      </c>
      <c r="G1542" s="40">
        <f t="shared" si="20"/>
        <v>1577570</v>
      </c>
      <c r="H1542" s="45"/>
    </row>
    <row r="1543" spans="1:771 1026:1795 2050:2819 3074:3843 4098:4867 5122:5891 6146:6915 7170:7939 8194:8963 9218:9987 10242:11011 11266:12035 12290:13059 13314:14083 14338:15107 15362:16131" s="35" customFormat="1" x14ac:dyDescent="0.3">
      <c r="A1543" s="36"/>
      <c r="B1543" s="46"/>
      <c r="C1543" s="51" t="s">
        <v>20</v>
      </c>
      <c r="D1543" s="39"/>
      <c r="E1543" s="44"/>
      <c r="F1543" s="40"/>
      <c r="G1543" s="41">
        <f>SUM(G1544)</f>
        <v>2252000</v>
      </c>
      <c r="H1543" s="52"/>
    </row>
    <row r="1544" spans="1:771 1026:1795 2050:2819 3074:3843 4098:4867 5122:5891 6146:6915 7170:7939 8194:8963 9218:9987 10242:11011 11266:12035 12290:13059 13314:14083 14338:15107 15362:16131" s="77" customFormat="1" x14ac:dyDescent="0.3">
      <c r="A1544" s="36"/>
      <c r="B1544" s="37"/>
      <c r="C1544" s="75" t="s">
        <v>1217</v>
      </c>
      <c r="D1544" s="76" t="s">
        <v>21</v>
      </c>
      <c r="E1544" s="73">
        <v>1</v>
      </c>
      <c r="F1544" s="74">
        <v>2252000</v>
      </c>
      <c r="G1544" s="40">
        <f>E1544*F1544</f>
        <v>2252000</v>
      </c>
      <c r="H1544" s="52"/>
    </row>
    <row r="1545" spans="1:771 1026:1795 2050:2819 3074:3843 4098:4867 5122:5891 6146:6915 7170:7939 8194:8963 9218:9987 10242:11011 11266:12035 12290:13059 13314:14083 14338:15107 15362:16131" s="35" customFormat="1" ht="65.400000000000006" thickBot="1" x14ac:dyDescent="0.35">
      <c r="A1545" s="53"/>
      <c r="B1545" s="54"/>
      <c r="C1545" s="55" t="s">
        <v>2331</v>
      </c>
      <c r="D1545" s="56"/>
      <c r="E1545" s="5"/>
      <c r="F1545" s="6"/>
      <c r="G1545" s="57"/>
      <c r="H1545" s="58"/>
    </row>
    <row r="1546" spans="1:771 1026:1795 2050:2819 3074:3843 4098:4867 5122:5891 6146:6915 7170:7939 8194:8963 9218:9987 10242:11011 11266:12035 12290:13059 13314:14083 14338:15107 15362:16131" s="59" customFormat="1" ht="31.8" thickBot="1" x14ac:dyDescent="0.35">
      <c r="A1546" s="154"/>
      <c r="B1546" s="155" t="s">
        <v>26</v>
      </c>
      <c r="C1546" s="156"/>
      <c r="D1546" s="154"/>
      <c r="E1546" s="157"/>
      <c r="F1546" s="158"/>
      <c r="G1546" s="159">
        <f>SUM(G1532:G1545)/2</f>
        <v>348838872</v>
      </c>
      <c r="H1546" s="160"/>
      <c r="IX1546" s="35"/>
      <c r="IY1546" s="35"/>
      <c r="ST1546" s="35"/>
      <c r="SU1546" s="35"/>
      <c r="ACP1546" s="35"/>
      <c r="ACQ1546" s="35"/>
      <c r="AML1546" s="35"/>
      <c r="AMM1546" s="35"/>
      <c r="AWH1546" s="35"/>
      <c r="AWI1546" s="35"/>
      <c r="BGD1546" s="35"/>
      <c r="BGE1546" s="35"/>
      <c r="BPZ1546" s="35"/>
      <c r="BQA1546" s="35"/>
      <c r="BZV1546" s="35"/>
      <c r="BZW1546" s="35"/>
      <c r="CJR1546" s="35"/>
      <c r="CJS1546" s="35"/>
      <c r="CTN1546" s="35"/>
      <c r="CTO1546" s="35"/>
      <c r="DDJ1546" s="35"/>
      <c r="DDK1546" s="35"/>
      <c r="DNF1546" s="35"/>
      <c r="DNG1546" s="35"/>
      <c r="DXB1546" s="35"/>
      <c r="DXC1546" s="35"/>
      <c r="EGX1546" s="35"/>
      <c r="EGY1546" s="35"/>
      <c r="EQT1546" s="35"/>
      <c r="EQU1546" s="35"/>
      <c r="FAP1546" s="35"/>
      <c r="FAQ1546" s="35"/>
      <c r="FKL1546" s="35"/>
      <c r="FKM1546" s="35"/>
      <c r="FUH1546" s="35"/>
      <c r="FUI1546" s="35"/>
      <c r="GED1546" s="35"/>
      <c r="GEE1546" s="35"/>
      <c r="GNZ1546" s="35"/>
      <c r="GOA1546" s="35"/>
      <c r="GXV1546" s="35"/>
      <c r="GXW1546" s="35"/>
      <c r="HHR1546" s="35"/>
      <c r="HHS1546" s="35"/>
      <c r="HRN1546" s="35"/>
      <c r="HRO1546" s="35"/>
      <c r="IBJ1546" s="35"/>
      <c r="IBK1546" s="35"/>
      <c r="ILF1546" s="35"/>
      <c r="ILG1546" s="35"/>
      <c r="IVB1546" s="35"/>
      <c r="IVC1546" s="35"/>
      <c r="JEX1546" s="35"/>
      <c r="JEY1546" s="35"/>
      <c r="JOT1546" s="35"/>
      <c r="JOU1546" s="35"/>
      <c r="JYP1546" s="35"/>
      <c r="JYQ1546" s="35"/>
      <c r="KIL1546" s="35"/>
      <c r="KIM1546" s="35"/>
      <c r="KSH1546" s="35"/>
      <c r="KSI1546" s="35"/>
      <c r="LCD1546" s="35"/>
      <c r="LCE1546" s="35"/>
      <c r="LLZ1546" s="35"/>
      <c r="LMA1546" s="35"/>
      <c r="LVV1546" s="35"/>
      <c r="LVW1546" s="35"/>
      <c r="MFR1546" s="35"/>
      <c r="MFS1546" s="35"/>
      <c r="MPN1546" s="35"/>
      <c r="MPO1546" s="35"/>
      <c r="MZJ1546" s="35"/>
      <c r="MZK1546" s="35"/>
      <c r="NJF1546" s="35"/>
      <c r="NJG1546" s="35"/>
      <c r="NTB1546" s="35"/>
      <c r="NTC1546" s="35"/>
      <c r="OCX1546" s="35"/>
      <c r="OCY1546" s="35"/>
      <c r="OMT1546" s="35"/>
      <c r="OMU1546" s="35"/>
      <c r="OWP1546" s="35"/>
      <c r="OWQ1546" s="35"/>
      <c r="PGL1546" s="35"/>
      <c r="PGM1546" s="35"/>
      <c r="PQH1546" s="35"/>
      <c r="PQI1546" s="35"/>
      <c r="QAD1546" s="35"/>
      <c r="QAE1546" s="35"/>
      <c r="QJZ1546" s="35"/>
      <c r="QKA1546" s="35"/>
      <c r="QTV1546" s="35"/>
      <c r="QTW1546" s="35"/>
      <c r="RDR1546" s="35"/>
      <c r="RDS1546" s="35"/>
      <c r="RNN1546" s="35"/>
      <c r="RNO1546" s="35"/>
      <c r="RXJ1546" s="35"/>
      <c r="RXK1546" s="35"/>
      <c r="SHF1546" s="35"/>
      <c r="SHG1546" s="35"/>
      <c r="SRB1546" s="35"/>
      <c r="SRC1546" s="35"/>
      <c r="TAX1546" s="35"/>
      <c r="TAY1546" s="35"/>
      <c r="TKT1546" s="35"/>
      <c r="TKU1546" s="35"/>
      <c r="TUP1546" s="35"/>
      <c r="TUQ1546" s="35"/>
      <c r="UEL1546" s="35"/>
      <c r="UEM1546" s="35"/>
      <c r="UOH1546" s="35"/>
      <c r="UOI1546" s="35"/>
      <c r="UYD1546" s="35"/>
      <c r="UYE1546" s="35"/>
      <c r="VHZ1546" s="35"/>
      <c r="VIA1546" s="35"/>
      <c r="VRV1546" s="35"/>
      <c r="VRW1546" s="35"/>
      <c r="WBR1546" s="35"/>
      <c r="WBS1546" s="35"/>
      <c r="WLN1546" s="35"/>
      <c r="WLO1546" s="35"/>
      <c r="WVJ1546" s="35"/>
      <c r="WVK1546" s="35"/>
    </row>
    <row r="1547" spans="1:771 1026:1795 2050:2819 3074:3843 4098:4867 5122:5891 6146:6915 7170:7939 8194:8963 9218:9987 10242:11011 11266:12035 12290:13059 13314:14083 14338:15107 15362:16131" s="35" customFormat="1" ht="55.2" x14ac:dyDescent="0.3">
      <c r="A1547" s="28">
        <v>147</v>
      </c>
      <c r="B1547" s="29" t="s">
        <v>1218</v>
      </c>
      <c r="C1547" s="30" t="s">
        <v>1222</v>
      </c>
      <c r="D1547" s="31" t="s">
        <v>13</v>
      </c>
      <c r="E1547" s="32">
        <v>12</v>
      </c>
      <c r="F1547" s="33"/>
      <c r="G1547" s="33"/>
      <c r="H1547" s="34" t="s">
        <v>1223</v>
      </c>
    </row>
    <row r="1548" spans="1:771 1026:1795 2050:2819 3074:3843 4098:4867 5122:5891 6146:6915 7170:7939 8194:8963 9218:9987 10242:11011 11266:12035 12290:13059 13314:14083 14338:15107 15362:16131" s="35" customFormat="1" x14ac:dyDescent="0.3">
      <c r="A1548" s="36"/>
      <c r="B1548" s="72" t="s">
        <v>1219</v>
      </c>
      <c r="C1548" s="38" t="s">
        <v>14</v>
      </c>
      <c r="D1548" s="39"/>
      <c r="E1548" s="44"/>
      <c r="F1548" s="40"/>
      <c r="G1548" s="41">
        <f>SUM(G1549)</f>
        <v>233748000</v>
      </c>
      <c r="H1548" s="42"/>
    </row>
    <row r="1549" spans="1:771 1026:1795 2050:2819 3074:3843 4098:4867 5122:5891 6146:6915 7170:7939 8194:8963 9218:9987 10242:11011 11266:12035 12290:13059 13314:14083 14338:15107 15362:16131" s="35" customFormat="1" ht="62.4" x14ac:dyDescent="0.3">
      <c r="A1549" s="36"/>
      <c r="B1549" s="72" t="s">
        <v>1220</v>
      </c>
      <c r="C1549" s="48" t="s">
        <v>38</v>
      </c>
      <c r="D1549" s="39" t="s">
        <v>13</v>
      </c>
      <c r="E1549" s="44">
        <v>12</v>
      </c>
      <c r="F1549" s="161">
        <v>19479000</v>
      </c>
      <c r="G1549" s="40">
        <f>E1549*F1549</f>
        <v>233748000</v>
      </c>
      <c r="H1549" s="42"/>
    </row>
    <row r="1550" spans="1:771 1026:1795 2050:2819 3074:3843 4098:4867 5122:5891 6146:6915 7170:7939 8194:8963 9218:9987 10242:11011 11266:12035 12290:13059 13314:14083 14338:15107 15362:16131" s="35" customFormat="1" x14ac:dyDescent="0.3">
      <c r="A1550" s="36"/>
      <c r="B1550" s="72" t="s">
        <v>1221</v>
      </c>
      <c r="C1550" s="47" t="s">
        <v>35</v>
      </c>
      <c r="D1550" s="39"/>
      <c r="E1550" s="73"/>
      <c r="F1550" s="40"/>
      <c r="G1550" s="41">
        <f>SUM(G1551:G1555)</f>
        <v>8047034</v>
      </c>
      <c r="H1550" s="45"/>
    </row>
    <row r="1551" spans="1:771 1026:1795 2050:2819 3074:3843 4098:4867 5122:5891 6146:6915 7170:7939 8194:8963 9218:9987 10242:11011 11266:12035 12290:13059 13314:14083 14338:15107 15362:16131" s="77" customFormat="1" ht="41.4" x14ac:dyDescent="0.3">
      <c r="A1551" s="36"/>
      <c r="B1551" s="75"/>
      <c r="C1551" s="66" t="s">
        <v>1224</v>
      </c>
      <c r="D1551" s="39" t="s">
        <v>13</v>
      </c>
      <c r="E1551" s="73">
        <f>2.05*5.8</f>
        <v>11.889999999999999</v>
      </c>
      <c r="F1551" s="74">
        <f>540000*40%</f>
        <v>216000</v>
      </c>
      <c r="G1551" s="40">
        <f>E1551*F1551</f>
        <v>2568239.9999999995</v>
      </c>
      <c r="H1551" s="45" t="s">
        <v>2497</v>
      </c>
    </row>
    <row r="1552" spans="1:771 1026:1795 2050:2819 3074:3843 4098:4867 5122:5891 6146:6915 7170:7939 8194:8963 9218:9987 10242:11011 11266:12035 12290:13059 13314:14083 14338:15107 15362:16131" s="77" customFormat="1" ht="31.2" x14ac:dyDescent="0.3">
      <c r="A1552" s="36"/>
      <c r="B1552" s="75"/>
      <c r="C1552" s="66" t="s">
        <v>1225</v>
      </c>
      <c r="D1552" s="39" t="s">
        <v>13</v>
      </c>
      <c r="E1552" s="73">
        <f>2*2.58*2</f>
        <v>10.32</v>
      </c>
      <c r="F1552" s="40">
        <v>361000</v>
      </c>
      <c r="G1552" s="40">
        <f>E1552*F1552</f>
        <v>3725520</v>
      </c>
      <c r="H1552" s="45"/>
    </row>
    <row r="1553" spans="1:771 1026:1795 2050:2819 3074:3843 4098:4867 5122:5891 6146:6915 7170:7939 8194:8963 9218:9987 10242:11011 11266:12035 12290:13059 13314:14083 14338:15107 15362:16131" s="77" customFormat="1" ht="18.600000000000001" x14ac:dyDescent="0.3">
      <c r="A1553" s="36"/>
      <c r="B1553" s="75"/>
      <c r="C1553" s="66" t="s">
        <v>115</v>
      </c>
      <c r="D1553" s="39" t="s">
        <v>13</v>
      </c>
      <c r="E1553" s="73">
        <f>5.14*1.7</f>
        <v>8.7379999999999995</v>
      </c>
      <c r="F1553" s="40">
        <v>100000</v>
      </c>
      <c r="G1553" s="40">
        <f>E1553*F1553</f>
        <v>873800</v>
      </c>
      <c r="H1553" s="45"/>
    </row>
    <row r="1554" spans="1:771 1026:1795 2050:2819 3074:3843 4098:4867 5122:5891 6146:6915 7170:7939 8194:8963 9218:9987 10242:11011 11266:12035 12290:13059 13314:14083 14338:15107 15362:16131" s="77" customFormat="1" ht="18.600000000000001" x14ac:dyDescent="0.3">
      <c r="A1554" s="36"/>
      <c r="B1554" s="75"/>
      <c r="C1554" s="66" t="s">
        <v>232</v>
      </c>
      <c r="D1554" s="39" t="s">
        <v>104</v>
      </c>
      <c r="E1554" s="73">
        <f>0.3*0.3*2.3*2</f>
        <v>0.41399999999999998</v>
      </c>
      <c r="F1554" s="40">
        <v>1946000</v>
      </c>
      <c r="G1554" s="40">
        <f>E1554*F1554</f>
        <v>805644</v>
      </c>
      <c r="H1554" s="45"/>
    </row>
    <row r="1555" spans="1:771 1026:1795 2050:2819 3074:3843 4098:4867 5122:5891 6146:6915 7170:7939 8194:8963 9218:9987 10242:11011 11266:12035 12290:13059 13314:14083 14338:15107 15362:16131" s="77" customFormat="1" ht="18.600000000000001" x14ac:dyDescent="0.3">
      <c r="A1555" s="36"/>
      <c r="B1555" s="75"/>
      <c r="C1555" s="66" t="s">
        <v>188</v>
      </c>
      <c r="D1555" s="39" t="s">
        <v>13</v>
      </c>
      <c r="E1555" s="73">
        <f>0.3*2.3</f>
        <v>0.69</v>
      </c>
      <c r="F1555" s="74">
        <v>107000</v>
      </c>
      <c r="G1555" s="40">
        <f>E1555*F1555</f>
        <v>73830</v>
      </c>
      <c r="H1555" s="45"/>
    </row>
    <row r="1556" spans="1:771 1026:1795 2050:2819 3074:3843 4098:4867 5122:5891 6146:6915 7170:7939 8194:8963 9218:9987 10242:11011 11266:12035 12290:13059 13314:14083 14338:15107 15362:16131" s="35" customFormat="1" x14ac:dyDescent="0.3">
      <c r="A1556" s="36"/>
      <c r="B1556" s="46"/>
      <c r="C1556" s="51" t="s">
        <v>20</v>
      </c>
      <c r="D1556" s="39"/>
      <c r="E1556" s="44"/>
      <c r="F1556" s="40"/>
      <c r="G1556" s="41">
        <f>SUM(G1557)</f>
        <v>2252000</v>
      </c>
      <c r="H1556" s="52"/>
    </row>
    <row r="1557" spans="1:771 1026:1795 2050:2819 3074:3843 4098:4867 5122:5891 6146:6915 7170:7939 8194:8963 9218:9987 10242:11011 11266:12035 12290:13059 13314:14083 14338:15107 15362:16131" s="77" customFormat="1" x14ac:dyDescent="0.3">
      <c r="A1557" s="36"/>
      <c r="B1557" s="37"/>
      <c r="C1557" s="75" t="s">
        <v>1217</v>
      </c>
      <c r="D1557" s="76" t="s">
        <v>21</v>
      </c>
      <c r="E1557" s="73">
        <v>1</v>
      </c>
      <c r="F1557" s="74">
        <v>2252000</v>
      </c>
      <c r="G1557" s="40">
        <f>E1557*F1557</f>
        <v>2252000</v>
      </c>
      <c r="H1557" s="52"/>
    </row>
    <row r="1558" spans="1:771 1026:1795 2050:2819 3074:3843 4098:4867 5122:5891 6146:6915 7170:7939 8194:8963 9218:9987 10242:11011 11266:12035 12290:13059 13314:14083 14338:15107 15362:16131" s="35" customFormat="1" ht="65.400000000000006" thickBot="1" x14ac:dyDescent="0.35">
      <c r="A1558" s="53"/>
      <c r="B1558" s="54"/>
      <c r="C1558" s="55" t="s">
        <v>2331</v>
      </c>
      <c r="D1558" s="56"/>
      <c r="E1558" s="5"/>
      <c r="F1558" s="6"/>
      <c r="G1558" s="57"/>
      <c r="H1558" s="58"/>
    </row>
    <row r="1559" spans="1:771 1026:1795 2050:2819 3074:3843 4098:4867 5122:5891 6146:6915 7170:7939 8194:8963 9218:9987 10242:11011 11266:12035 12290:13059 13314:14083 14338:15107 15362:16131" s="59" customFormat="1" ht="31.8" thickBot="1" x14ac:dyDescent="0.35">
      <c r="A1559" s="154"/>
      <c r="B1559" s="155" t="s">
        <v>26</v>
      </c>
      <c r="C1559" s="156"/>
      <c r="D1559" s="154"/>
      <c r="E1559" s="157"/>
      <c r="F1559" s="158"/>
      <c r="G1559" s="159">
        <f>SUM(G1547:G1558)/2</f>
        <v>244047034</v>
      </c>
      <c r="H1559" s="160"/>
      <c r="IX1559" s="35"/>
      <c r="IY1559" s="35"/>
      <c r="ST1559" s="35"/>
      <c r="SU1559" s="35"/>
      <c r="ACP1559" s="35"/>
      <c r="ACQ1559" s="35"/>
      <c r="AML1559" s="35"/>
      <c r="AMM1559" s="35"/>
      <c r="AWH1559" s="35"/>
      <c r="AWI1559" s="35"/>
      <c r="BGD1559" s="35"/>
      <c r="BGE1559" s="35"/>
      <c r="BPZ1559" s="35"/>
      <c r="BQA1559" s="35"/>
      <c r="BZV1559" s="35"/>
      <c r="BZW1559" s="35"/>
      <c r="CJR1559" s="35"/>
      <c r="CJS1559" s="35"/>
      <c r="CTN1559" s="35"/>
      <c r="CTO1559" s="35"/>
      <c r="DDJ1559" s="35"/>
      <c r="DDK1559" s="35"/>
      <c r="DNF1559" s="35"/>
      <c r="DNG1559" s="35"/>
      <c r="DXB1559" s="35"/>
      <c r="DXC1559" s="35"/>
      <c r="EGX1559" s="35"/>
      <c r="EGY1559" s="35"/>
      <c r="EQT1559" s="35"/>
      <c r="EQU1559" s="35"/>
      <c r="FAP1559" s="35"/>
      <c r="FAQ1559" s="35"/>
      <c r="FKL1559" s="35"/>
      <c r="FKM1559" s="35"/>
      <c r="FUH1559" s="35"/>
      <c r="FUI1559" s="35"/>
      <c r="GED1559" s="35"/>
      <c r="GEE1559" s="35"/>
      <c r="GNZ1559" s="35"/>
      <c r="GOA1559" s="35"/>
      <c r="GXV1559" s="35"/>
      <c r="GXW1559" s="35"/>
      <c r="HHR1559" s="35"/>
      <c r="HHS1559" s="35"/>
      <c r="HRN1559" s="35"/>
      <c r="HRO1559" s="35"/>
      <c r="IBJ1559" s="35"/>
      <c r="IBK1559" s="35"/>
      <c r="ILF1559" s="35"/>
      <c r="ILG1559" s="35"/>
      <c r="IVB1559" s="35"/>
      <c r="IVC1559" s="35"/>
      <c r="JEX1559" s="35"/>
      <c r="JEY1559" s="35"/>
      <c r="JOT1559" s="35"/>
      <c r="JOU1559" s="35"/>
      <c r="JYP1559" s="35"/>
      <c r="JYQ1559" s="35"/>
      <c r="KIL1559" s="35"/>
      <c r="KIM1559" s="35"/>
      <c r="KSH1559" s="35"/>
      <c r="KSI1559" s="35"/>
      <c r="LCD1559" s="35"/>
      <c r="LCE1559" s="35"/>
      <c r="LLZ1559" s="35"/>
      <c r="LMA1559" s="35"/>
      <c r="LVV1559" s="35"/>
      <c r="LVW1559" s="35"/>
      <c r="MFR1559" s="35"/>
      <c r="MFS1559" s="35"/>
      <c r="MPN1559" s="35"/>
      <c r="MPO1559" s="35"/>
      <c r="MZJ1559" s="35"/>
      <c r="MZK1559" s="35"/>
      <c r="NJF1559" s="35"/>
      <c r="NJG1559" s="35"/>
      <c r="NTB1559" s="35"/>
      <c r="NTC1559" s="35"/>
      <c r="OCX1559" s="35"/>
      <c r="OCY1559" s="35"/>
      <c r="OMT1559" s="35"/>
      <c r="OMU1559" s="35"/>
      <c r="OWP1559" s="35"/>
      <c r="OWQ1559" s="35"/>
      <c r="PGL1559" s="35"/>
      <c r="PGM1559" s="35"/>
      <c r="PQH1559" s="35"/>
      <c r="PQI1559" s="35"/>
      <c r="QAD1559" s="35"/>
      <c r="QAE1559" s="35"/>
      <c r="QJZ1559" s="35"/>
      <c r="QKA1559" s="35"/>
      <c r="QTV1559" s="35"/>
      <c r="QTW1559" s="35"/>
      <c r="RDR1559" s="35"/>
      <c r="RDS1559" s="35"/>
      <c r="RNN1559" s="35"/>
      <c r="RNO1559" s="35"/>
      <c r="RXJ1559" s="35"/>
      <c r="RXK1559" s="35"/>
      <c r="SHF1559" s="35"/>
      <c r="SHG1559" s="35"/>
      <c r="SRB1559" s="35"/>
      <c r="SRC1559" s="35"/>
      <c r="TAX1559" s="35"/>
      <c r="TAY1559" s="35"/>
      <c r="TKT1559" s="35"/>
      <c r="TKU1559" s="35"/>
      <c r="TUP1559" s="35"/>
      <c r="TUQ1559" s="35"/>
      <c r="UEL1559" s="35"/>
      <c r="UEM1559" s="35"/>
      <c r="UOH1559" s="35"/>
      <c r="UOI1559" s="35"/>
      <c r="UYD1559" s="35"/>
      <c r="UYE1559" s="35"/>
      <c r="VHZ1559" s="35"/>
      <c r="VIA1559" s="35"/>
      <c r="VRV1559" s="35"/>
      <c r="VRW1559" s="35"/>
      <c r="WBR1559" s="35"/>
      <c r="WBS1559" s="35"/>
      <c r="WLN1559" s="35"/>
      <c r="WLO1559" s="35"/>
      <c r="WVJ1559" s="35"/>
      <c r="WVK1559" s="35"/>
    </row>
    <row r="1560" spans="1:771 1026:1795 2050:2819 3074:3843 4098:4867 5122:5891 6146:6915 7170:7939 8194:8963 9218:9987 10242:11011 11266:12035 12290:13059 13314:14083 14338:15107 15362:16131" s="35" customFormat="1" ht="55.2" x14ac:dyDescent="0.3">
      <c r="A1560" s="28">
        <v>148</v>
      </c>
      <c r="B1560" s="29" t="s">
        <v>1226</v>
      </c>
      <c r="C1560" s="30" t="s">
        <v>1231</v>
      </c>
      <c r="D1560" s="31" t="s">
        <v>13</v>
      </c>
      <c r="E1560" s="32">
        <v>10</v>
      </c>
      <c r="F1560" s="33"/>
      <c r="G1560" s="33"/>
      <c r="H1560" s="34" t="s">
        <v>1230</v>
      </c>
    </row>
    <row r="1561" spans="1:771 1026:1795 2050:2819 3074:3843 4098:4867 5122:5891 6146:6915 7170:7939 8194:8963 9218:9987 10242:11011 11266:12035 12290:13059 13314:14083 14338:15107 15362:16131" s="35" customFormat="1" x14ac:dyDescent="0.3">
      <c r="A1561" s="36"/>
      <c r="B1561" s="72" t="s">
        <v>1227</v>
      </c>
      <c r="C1561" s="38" t="s">
        <v>14</v>
      </c>
      <c r="D1561" s="39"/>
      <c r="E1561" s="44"/>
      <c r="F1561" s="40"/>
      <c r="G1561" s="41">
        <f>SUM(G1562)</f>
        <v>194790000</v>
      </c>
      <c r="H1561" s="42"/>
    </row>
    <row r="1562" spans="1:771 1026:1795 2050:2819 3074:3843 4098:4867 5122:5891 6146:6915 7170:7939 8194:8963 9218:9987 10242:11011 11266:12035 12290:13059 13314:14083 14338:15107 15362:16131" s="35" customFormat="1" ht="78" x14ac:dyDescent="0.3">
      <c r="A1562" s="36"/>
      <c r="B1562" s="72" t="s">
        <v>1229</v>
      </c>
      <c r="C1562" s="48" t="s">
        <v>38</v>
      </c>
      <c r="D1562" s="39" t="s">
        <v>13</v>
      </c>
      <c r="E1562" s="44">
        <v>10</v>
      </c>
      <c r="F1562" s="153">
        <v>19479000</v>
      </c>
      <c r="G1562" s="40">
        <f>E1562*F1562</f>
        <v>194790000</v>
      </c>
      <c r="H1562" s="42"/>
    </row>
    <row r="1563" spans="1:771 1026:1795 2050:2819 3074:3843 4098:4867 5122:5891 6146:6915 7170:7939 8194:8963 9218:9987 10242:11011 11266:12035 12290:13059 13314:14083 14338:15107 15362:16131" s="35" customFormat="1" x14ac:dyDescent="0.3">
      <c r="A1563" s="36"/>
      <c r="B1563" s="72" t="s">
        <v>1228</v>
      </c>
      <c r="C1563" s="47" t="s">
        <v>35</v>
      </c>
      <c r="D1563" s="39"/>
      <c r="E1563" s="73"/>
      <c r="F1563" s="40"/>
      <c r="G1563" s="41">
        <f>SUM(G1564:G1567)</f>
        <v>2013855.9999999998</v>
      </c>
      <c r="H1563" s="45"/>
    </row>
    <row r="1564" spans="1:771 1026:1795 2050:2819 3074:3843 4098:4867 5122:5891 6146:6915 7170:7939 8194:8963 9218:9987 10242:11011 11266:12035 12290:13059 13314:14083 14338:15107 15362:16131" s="77" customFormat="1" ht="41.4" x14ac:dyDescent="0.3">
      <c r="A1564" s="36"/>
      <c r="B1564" s="75"/>
      <c r="C1564" s="66" t="s">
        <v>1232</v>
      </c>
      <c r="D1564" s="39" t="s">
        <v>13</v>
      </c>
      <c r="E1564" s="73">
        <v>9.2899999999999991</v>
      </c>
      <c r="F1564" s="74">
        <f>540000*40%</f>
        <v>216000</v>
      </c>
      <c r="G1564" s="40">
        <f>E1564*F1564</f>
        <v>2006639.9999999998</v>
      </c>
      <c r="H1564" s="45" t="s">
        <v>2498</v>
      </c>
    </row>
    <row r="1565" spans="1:771 1026:1795 2050:2819 3074:3843 4098:4867 5122:5891 6146:6915 7170:7939 8194:8963 9218:9987 10242:11011 11266:12035 12290:13059 13314:14083 14338:15107 15362:16131" s="77" customFormat="1" ht="18.600000000000001" x14ac:dyDescent="0.3">
      <c r="A1565" s="36"/>
      <c r="B1565" s="75"/>
      <c r="C1565" s="66" t="s">
        <v>18</v>
      </c>
      <c r="D1565" s="39" t="s">
        <v>13</v>
      </c>
      <c r="E1565" s="73">
        <v>0.17599999999999999</v>
      </c>
      <c r="F1565" s="40">
        <v>41000</v>
      </c>
      <c r="G1565" s="40">
        <f>E1565*F1565</f>
        <v>7216</v>
      </c>
      <c r="H1565" s="45"/>
    </row>
    <row r="1566" spans="1:771 1026:1795 2050:2819 3074:3843 4098:4867 5122:5891 6146:6915 7170:7939 8194:8963 9218:9987 10242:11011 11266:12035 12290:13059 13314:14083 14338:15107 15362:16131" s="77" customFormat="1" x14ac:dyDescent="0.3">
      <c r="A1566" s="36"/>
      <c r="B1566" s="75"/>
      <c r="C1566" s="66" t="s">
        <v>105</v>
      </c>
      <c r="D1566" s="39" t="s">
        <v>106</v>
      </c>
      <c r="E1566" s="73">
        <v>1</v>
      </c>
      <c r="F1566" s="74"/>
      <c r="G1566" s="40">
        <f>E1566*F1566</f>
        <v>0</v>
      </c>
      <c r="H1566" s="52" t="s">
        <v>2353</v>
      </c>
    </row>
    <row r="1567" spans="1:771 1026:1795 2050:2819 3074:3843 4098:4867 5122:5891 6146:6915 7170:7939 8194:8963 9218:9987 10242:11011 11266:12035 12290:13059 13314:14083 14338:15107 15362:16131" s="35" customFormat="1" ht="65.400000000000006" thickBot="1" x14ac:dyDescent="0.35">
      <c r="A1567" s="53"/>
      <c r="B1567" s="54"/>
      <c r="C1567" s="55" t="s">
        <v>2331</v>
      </c>
      <c r="D1567" s="56"/>
      <c r="E1567" s="5"/>
      <c r="F1567" s="6"/>
      <c r="G1567" s="57"/>
      <c r="H1567" s="58"/>
    </row>
    <row r="1568" spans="1:771 1026:1795 2050:2819 3074:3843 4098:4867 5122:5891 6146:6915 7170:7939 8194:8963 9218:9987 10242:11011 11266:12035 12290:13059 13314:14083 14338:15107 15362:16131" s="59" customFormat="1" ht="31.8" thickBot="1" x14ac:dyDescent="0.35">
      <c r="A1568" s="154"/>
      <c r="B1568" s="155" t="s">
        <v>26</v>
      </c>
      <c r="C1568" s="156"/>
      <c r="D1568" s="154"/>
      <c r="E1568" s="157"/>
      <c r="F1568" s="158"/>
      <c r="G1568" s="159">
        <f>SUM(G1560:G1567)/2</f>
        <v>196803856</v>
      </c>
      <c r="H1568" s="160"/>
      <c r="IX1568" s="35"/>
      <c r="IY1568" s="35"/>
      <c r="ST1568" s="35"/>
      <c r="SU1568" s="35"/>
      <c r="ACP1568" s="35"/>
      <c r="ACQ1568" s="35"/>
      <c r="AML1568" s="35"/>
      <c r="AMM1568" s="35"/>
      <c r="AWH1568" s="35"/>
      <c r="AWI1568" s="35"/>
      <c r="BGD1568" s="35"/>
      <c r="BGE1568" s="35"/>
      <c r="BPZ1568" s="35"/>
      <c r="BQA1568" s="35"/>
      <c r="BZV1568" s="35"/>
      <c r="BZW1568" s="35"/>
      <c r="CJR1568" s="35"/>
      <c r="CJS1568" s="35"/>
      <c r="CTN1568" s="35"/>
      <c r="CTO1568" s="35"/>
      <c r="DDJ1568" s="35"/>
      <c r="DDK1568" s="35"/>
      <c r="DNF1568" s="35"/>
      <c r="DNG1568" s="35"/>
      <c r="DXB1568" s="35"/>
      <c r="DXC1568" s="35"/>
      <c r="EGX1568" s="35"/>
      <c r="EGY1568" s="35"/>
      <c r="EQT1568" s="35"/>
      <c r="EQU1568" s="35"/>
      <c r="FAP1568" s="35"/>
      <c r="FAQ1568" s="35"/>
      <c r="FKL1568" s="35"/>
      <c r="FKM1568" s="35"/>
      <c r="FUH1568" s="35"/>
      <c r="FUI1568" s="35"/>
      <c r="GED1568" s="35"/>
      <c r="GEE1568" s="35"/>
      <c r="GNZ1568" s="35"/>
      <c r="GOA1568" s="35"/>
      <c r="GXV1568" s="35"/>
      <c r="GXW1568" s="35"/>
      <c r="HHR1568" s="35"/>
      <c r="HHS1568" s="35"/>
      <c r="HRN1568" s="35"/>
      <c r="HRO1568" s="35"/>
      <c r="IBJ1568" s="35"/>
      <c r="IBK1568" s="35"/>
      <c r="ILF1568" s="35"/>
      <c r="ILG1568" s="35"/>
      <c r="IVB1568" s="35"/>
      <c r="IVC1568" s="35"/>
      <c r="JEX1568" s="35"/>
      <c r="JEY1568" s="35"/>
      <c r="JOT1568" s="35"/>
      <c r="JOU1568" s="35"/>
      <c r="JYP1568" s="35"/>
      <c r="JYQ1568" s="35"/>
      <c r="KIL1568" s="35"/>
      <c r="KIM1568" s="35"/>
      <c r="KSH1568" s="35"/>
      <c r="KSI1568" s="35"/>
      <c r="LCD1568" s="35"/>
      <c r="LCE1568" s="35"/>
      <c r="LLZ1568" s="35"/>
      <c r="LMA1568" s="35"/>
      <c r="LVV1568" s="35"/>
      <c r="LVW1568" s="35"/>
      <c r="MFR1568" s="35"/>
      <c r="MFS1568" s="35"/>
      <c r="MPN1568" s="35"/>
      <c r="MPO1568" s="35"/>
      <c r="MZJ1568" s="35"/>
      <c r="MZK1568" s="35"/>
      <c r="NJF1568" s="35"/>
      <c r="NJG1568" s="35"/>
      <c r="NTB1568" s="35"/>
      <c r="NTC1568" s="35"/>
      <c r="OCX1568" s="35"/>
      <c r="OCY1568" s="35"/>
      <c r="OMT1568" s="35"/>
      <c r="OMU1568" s="35"/>
      <c r="OWP1568" s="35"/>
      <c r="OWQ1568" s="35"/>
      <c r="PGL1568" s="35"/>
      <c r="PGM1568" s="35"/>
      <c r="PQH1568" s="35"/>
      <c r="PQI1568" s="35"/>
      <c r="QAD1568" s="35"/>
      <c r="QAE1568" s="35"/>
      <c r="QJZ1568" s="35"/>
      <c r="QKA1568" s="35"/>
      <c r="QTV1568" s="35"/>
      <c r="QTW1568" s="35"/>
      <c r="RDR1568" s="35"/>
      <c r="RDS1568" s="35"/>
      <c r="RNN1568" s="35"/>
      <c r="RNO1568" s="35"/>
      <c r="RXJ1568" s="35"/>
      <c r="RXK1568" s="35"/>
      <c r="SHF1568" s="35"/>
      <c r="SHG1568" s="35"/>
      <c r="SRB1568" s="35"/>
      <c r="SRC1568" s="35"/>
      <c r="TAX1568" s="35"/>
      <c r="TAY1568" s="35"/>
      <c r="TKT1568" s="35"/>
      <c r="TKU1568" s="35"/>
      <c r="TUP1568" s="35"/>
      <c r="TUQ1568" s="35"/>
      <c r="UEL1568" s="35"/>
      <c r="UEM1568" s="35"/>
      <c r="UOH1568" s="35"/>
      <c r="UOI1568" s="35"/>
      <c r="UYD1568" s="35"/>
      <c r="UYE1568" s="35"/>
      <c r="VHZ1568" s="35"/>
      <c r="VIA1568" s="35"/>
      <c r="VRV1568" s="35"/>
      <c r="VRW1568" s="35"/>
      <c r="WBR1568" s="35"/>
      <c r="WBS1568" s="35"/>
      <c r="WLN1568" s="35"/>
      <c r="WLO1568" s="35"/>
      <c r="WVJ1568" s="35"/>
      <c r="WVK1568" s="35"/>
    </row>
    <row r="1569" spans="1:771 1026:1795 2050:2819 3074:3843 4098:4867 5122:5891 6146:6915 7170:7939 8194:8963 9218:9987 10242:11011 11266:12035 12290:13059 13314:14083 14338:15107 15362:16131" s="35" customFormat="1" ht="82.8" x14ac:dyDescent="0.3">
      <c r="A1569" s="28">
        <v>149</v>
      </c>
      <c r="B1569" s="29" t="s">
        <v>1233</v>
      </c>
      <c r="C1569" s="30" t="s">
        <v>1237</v>
      </c>
      <c r="D1569" s="31" t="s">
        <v>13</v>
      </c>
      <c r="E1569" s="32">
        <v>16</v>
      </c>
      <c r="F1569" s="33"/>
      <c r="G1569" s="33"/>
      <c r="H1569" s="34" t="s">
        <v>1238</v>
      </c>
    </row>
    <row r="1570" spans="1:771 1026:1795 2050:2819 3074:3843 4098:4867 5122:5891 6146:6915 7170:7939 8194:8963 9218:9987 10242:11011 11266:12035 12290:13059 13314:14083 14338:15107 15362:16131" s="35" customFormat="1" x14ac:dyDescent="0.3">
      <c r="A1570" s="36"/>
      <c r="B1570" s="72" t="s">
        <v>1234</v>
      </c>
      <c r="C1570" s="38" t="s">
        <v>14</v>
      </c>
      <c r="D1570" s="39"/>
      <c r="E1570" s="44"/>
      <c r="F1570" s="40"/>
      <c r="G1570" s="41">
        <f>SUM(G1571)</f>
        <v>311664000</v>
      </c>
      <c r="H1570" s="42"/>
    </row>
    <row r="1571" spans="1:771 1026:1795 2050:2819 3074:3843 4098:4867 5122:5891 6146:6915 7170:7939 8194:8963 9218:9987 10242:11011 11266:12035 12290:13059 13314:14083 14338:15107 15362:16131" s="35" customFormat="1" ht="62.4" x14ac:dyDescent="0.3">
      <c r="A1571" s="36"/>
      <c r="B1571" s="72" t="s">
        <v>1235</v>
      </c>
      <c r="C1571" s="48" t="s">
        <v>38</v>
      </c>
      <c r="D1571" s="39" t="s">
        <v>13</v>
      </c>
      <c r="E1571" s="44">
        <v>16</v>
      </c>
      <c r="F1571" s="161">
        <v>19479000</v>
      </c>
      <c r="G1571" s="40">
        <f>E1571*F1571</f>
        <v>311664000</v>
      </c>
      <c r="H1571" s="42"/>
    </row>
    <row r="1572" spans="1:771 1026:1795 2050:2819 3074:3843 4098:4867 5122:5891 6146:6915 7170:7939 8194:8963 9218:9987 10242:11011 11266:12035 12290:13059 13314:14083 14338:15107 15362:16131" s="35" customFormat="1" x14ac:dyDescent="0.3">
      <c r="A1572" s="36"/>
      <c r="B1572" s="72" t="s">
        <v>1236</v>
      </c>
      <c r="C1572" s="47" t="s">
        <v>35</v>
      </c>
      <c r="D1572" s="39"/>
      <c r="E1572" s="73"/>
      <c r="F1572" s="40"/>
      <c r="G1572" s="41">
        <f>SUM(G1573:G1580)</f>
        <v>64393279</v>
      </c>
      <c r="H1572" s="45"/>
    </row>
    <row r="1573" spans="1:771 1026:1795 2050:2819 3074:3843 4098:4867 5122:5891 6146:6915 7170:7939 8194:8963 9218:9987 10242:11011 11266:12035 12290:13059 13314:14083 14338:15107 15362:16131" s="77" customFormat="1" ht="69" x14ac:dyDescent="0.3">
      <c r="A1573" s="36"/>
      <c r="B1573" s="75"/>
      <c r="C1573" s="101" t="s">
        <v>1239</v>
      </c>
      <c r="D1573" s="39" t="s">
        <v>13</v>
      </c>
      <c r="E1573" s="73">
        <f>(4*1.85)+(4*1.23)</f>
        <v>12.32</v>
      </c>
      <c r="F1573" s="74">
        <v>4594000</v>
      </c>
      <c r="G1573" s="40">
        <f t="shared" ref="G1573:G1579" si="21">E1573*F1573</f>
        <v>56598080</v>
      </c>
      <c r="H1573" s="45" t="s">
        <v>2499</v>
      </c>
    </row>
    <row r="1574" spans="1:771 1026:1795 2050:2819 3074:3843 4098:4867 5122:5891 6146:6915 7170:7939 8194:8963 9218:9987 10242:11011 11266:12035 12290:13059 13314:14083 14338:15107 15362:16131" s="77" customFormat="1" ht="18.600000000000001" x14ac:dyDescent="0.3">
      <c r="A1574" s="36"/>
      <c r="B1574" s="75"/>
      <c r="C1574" s="66" t="s">
        <v>189</v>
      </c>
      <c r="D1574" s="39" t="s">
        <v>104</v>
      </c>
      <c r="E1574" s="73">
        <v>0.58899999999999997</v>
      </c>
      <c r="F1574" s="40">
        <v>1421000</v>
      </c>
      <c r="G1574" s="40">
        <f t="shared" si="21"/>
        <v>836969</v>
      </c>
      <c r="H1574" s="45"/>
    </row>
    <row r="1575" spans="1:771 1026:1795 2050:2819 3074:3843 4098:4867 5122:5891 6146:6915 7170:7939 8194:8963 9218:9987 10242:11011 11266:12035 12290:13059 13314:14083 14338:15107 15362:16131" s="77" customFormat="1" ht="18.600000000000001" x14ac:dyDescent="0.3">
      <c r="A1575" s="36"/>
      <c r="B1575" s="75"/>
      <c r="C1575" s="66" t="s">
        <v>190</v>
      </c>
      <c r="D1575" s="39" t="s">
        <v>13</v>
      </c>
      <c r="E1575" s="73">
        <v>5.89</v>
      </c>
      <c r="F1575" s="74">
        <v>107000</v>
      </c>
      <c r="G1575" s="40">
        <f t="shared" si="21"/>
        <v>630230</v>
      </c>
      <c r="H1575" s="45"/>
    </row>
    <row r="1576" spans="1:771 1026:1795 2050:2819 3074:3843 4098:4867 5122:5891 6146:6915 7170:7939 8194:8963 9218:9987 10242:11011 11266:12035 12290:13059 13314:14083 14338:15107 15362:16131" s="77" customFormat="1" ht="18.600000000000001" x14ac:dyDescent="0.3">
      <c r="A1576" s="36"/>
      <c r="B1576" s="75"/>
      <c r="C1576" s="66" t="s">
        <v>469</v>
      </c>
      <c r="D1576" s="39" t="s">
        <v>13</v>
      </c>
      <c r="E1576" s="73">
        <f>(4+4)*2</f>
        <v>16</v>
      </c>
      <c r="F1576" s="74">
        <v>258000</v>
      </c>
      <c r="G1576" s="40">
        <f t="shared" si="21"/>
        <v>4128000</v>
      </c>
      <c r="H1576" s="45"/>
    </row>
    <row r="1577" spans="1:771 1026:1795 2050:2819 3074:3843 4098:4867 5122:5891 6146:6915 7170:7939 8194:8963 9218:9987 10242:11011 11266:12035 12290:13059 13314:14083 14338:15107 15362:16131" s="77" customFormat="1" ht="18.600000000000001" x14ac:dyDescent="0.3">
      <c r="A1577" s="36"/>
      <c r="B1577" s="75"/>
      <c r="C1577" s="66" t="s">
        <v>1240</v>
      </c>
      <c r="D1577" s="39" t="s">
        <v>13</v>
      </c>
      <c r="E1577" s="73">
        <f>4*2</f>
        <v>8</v>
      </c>
      <c r="F1577" s="74">
        <v>100000</v>
      </c>
      <c r="G1577" s="40">
        <f t="shared" si="21"/>
        <v>800000</v>
      </c>
      <c r="H1577" s="45"/>
    </row>
    <row r="1578" spans="1:771 1026:1795 2050:2819 3074:3843 4098:4867 5122:5891 6146:6915 7170:7939 8194:8963 9218:9987 10242:11011 11266:12035 12290:13059 13314:14083 14338:15107 15362:16131" s="77" customFormat="1" ht="18.600000000000001" x14ac:dyDescent="0.3">
      <c r="A1578" s="36"/>
      <c r="B1578" s="75"/>
      <c r="C1578" s="66" t="s">
        <v>1241</v>
      </c>
      <c r="D1578" s="39" t="s">
        <v>13</v>
      </c>
      <c r="E1578" s="73">
        <f>4*3.5</f>
        <v>14</v>
      </c>
      <c r="F1578" s="74">
        <v>100000</v>
      </c>
      <c r="G1578" s="40">
        <f t="shared" si="21"/>
        <v>1400000</v>
      </c>
      <c r="H1578" s="45"/>
    </row>
    <row r="1579" spans="1:771 1026:1795 2050:2819 3074:3843 4098:4867 5122:5891 6146:6915 7170:7939 8194:8963 9218:9987 10242:11011 11266:12035 12290:13059 13314:14083 14338:15107 15362:16131" s="77" customFormat="1" ht="18.600000000000001" x14ac:dyDescent="0.3">
      <c r="A1579" s="36"/>
      <c r="B1579" s="75"/>
      <c r="C1579" s="66" t="s">
        <v>1242</v>
      </c>
      <c r="D1579" s="39" t="s">
        <v>13</v>
      </c>
      <c r="E1579" s="73">
        <f>2*4</f>
        <v>8</v>
      </c>
      <c r="F1579" s="74"/>
      <c r="G1579" s="40">
        <f t="shared" si="21"/>
        <v>0</v>
      </c>
      <c r="H1579" s="45"/>
    </row>
    <row r="1580" spans="1:771 1026:1795 2050:2819 3074:3843 4098:4867 5122:5891 6146:6915 7170:7939 8194:8963 9218:9987 10242:11011 11266:12035 12290:13059 13314:14083 14338:15107 15362:16131" s="35" customFormat="1" ht="65.400000000000006" thickBot="1" x14ac:dyDescent="0.35">
      <c r="A1580" s="53"/>
      <c r="B1580" s="54"/>
      <c r="C1580" s="55" t="s">
        <v>2331</v>
      </c>
      <c r="D1580" s="56"/>
      <c r="E1580" s="5"/>
      <c r="F1580" s="6"/>
      <c r="G1580" s="57"/>
      <c r="H1580" s="58"/>
    </row>
    <row r="1581" spans="1:771 1026:1795 2050:2819 3074:3843 4098:4867 5122:5891 6146:6915 7170:7939 8194:8963 9218:9987 10242:11011 11266:12035 12290:13059 13314:14083 14338:15107 15362:16131" s="59" customFormat="1" ht="31.8" thickBot="1" x14ac:dyDescent="0.35">
      <c r="A1581" s="154"/>
      <c r="B1581" s="155" t="s">
        <v>26</v>
      </c>
      <c r="C1581" s="156"/>
      <c r="D1581" s="154"/>
      <c r="E1581" s="157"/>
      <c r="F1581" s="158"/>
      <c r="G1581" s="159">
        <f>SUM(G1569:G1580)/2</f>
        <v>376057279</v>
      </c>
      <c r="H1581" s="160"/>
      <c r="IX1581" s="35"/>
      <c r="IY1581" s="35"/>
      <c r="ST1581" s="35"/>
      <c r="SU1581" s="35"/>
      <c r="ACP1581" s="35"/>
      <c r="ACQ1581" s="35"/>
      <c r="AML1581" s="35"/>
      <c r="AMM1581" s="35"/>
      <c r="AWH1581" s="35"/>
      <c r="AWI1581" s="35"/>
      <c r="BGD1581" s="35"/>
      <c r="BGE1581" s="35"/>
      <c r="BPZ1581" s="35"/>
      <c r="BQA1581" s="35"/>
      <c r="BZV1581" s="35"/>
      <c r="BZW1581" s="35"/>
      <c r="CJR1581" s="35"/>
      <c r="CJS1581" s="35"/>
      <c r="CTN1581" s="35"/>
      <c r="CTO1581" s="35"/>
      <c r="DDJ1581" s="35"/>
      <c r="DDK1581" s="35"/>
      <c r="DNF1581" s="35"/>
      <c r="DNG1581" s="35"/>
      <c r="DXB1581" s="35"/>
      <c r="DXC1581" s="35"/>
      <c r="EGX1581" s="35"/>
      <c r="EGY1581" s="35"/>
      <c r="EQT1581" s="35"/>
      <c r="EQU1581" s="35"/>
      <c r="FAP1581" s="35"/>
      <c r="FAQ1581" s="35"/>
      <c r="FKL1581" s="35"/>
      <c r="FKM1581" s="35"/>
      <c r="FUH1581" s="35"/>
      <c r="FUI1581" s="35"/>
      <c r="GED1581" s="35"/>
      <c r="GEE1581" s="35"/>
      <c r="GNZ1581" s="35"/>
      <c r="GOA1581" s="35"/>
      <c r="GXV1581" s="35"/>
      <c r="GXW1581" s="35"/>
      <c r="HHR1581" s="35"/>
      <c r="HHS1581" s="35"/>
      <c r="HRN1581" s="35"/>
      <c r="HRO1581" s="35"/>
      <c r="IBJ1581" s="35"/>
      <c r="IBK1581" s="35"/>
      <c r="ILF1581" s="35"/>
      <c r="ILG1581" s="35"/>
      <c r="IVB1581" s="35"/>
      <c r="IVC1581" s="35"/>
      <c r="JEX1581" s="35"/>
      <c r="JEY1581" s="35"/>
      <c r="JOT1581" s="35"/>
      <c r="JOU1581" s="35"/>
      <c r="JYP1581" s="35"/>
      <c r="JYQ1581" s="35"/>
      <c r="KIL1581" s="35"/>
      <c r="KIM1581" s="35"/>
      <c r="KSH1581" s="35"/>
      <c r="KSI1581" s="35"/>
      <c r="LCD1581" s="35"/>
      <c r="LCE1581" s="35"/>
      <c r="LLZ1581" s="35"/>
      <c r="LMA1581" s="35"/>
      <c r="LVV1581" s="35"/>
      <c r="LVW1581" s="35"/>
      <c r="MFR1581" s="35"/>
      <c r="MFS1581" s="35"/>
      <c r="MPN1581" s="35"/>
      <c r="MPO1581" s="35"/>
      <c r="MZJ1581" s="35"/>
      <c r="MZK1581" s="35"/>
      <c r="NJF1581" s="35"/>
      <c r="NJG1581" s="35"/>
      <c r="NTB1581" s="35"/>
      <c r="NTC1581" s="35"/>
      <c r="OCX1581" s="35"/>
      <c r="OCY1581" s="35"/>
      <c r="OMT1581" s="35"/>
      <c r="OMU1581" s="35"/>
      <c r="OWP1581" s="35"/>
      <c r="OWQ1581" s="35"/>
      <c r="PGL1581" s="35"/>
      <c r="PGM1581" s="35"/>
      <c r="PQH1581" s="35"/>
      <c r="PQI1581" s="35"/>
      <c r="QAD1581" s="35"/>
      <c r="QAE1581" s="35"/>
      <c r="QJZ1581" s="35"/>
      <c r="QKA1581" s="35"/>
      <c r="QTV1581" s="35"/>
      <c r="QTW1581" s="35"/>
      <c r="RDR1581" s="35"/>
      <c r="RDS1581" s="35"/>
      <c r="RNN1581" s="35"/>
      <c r="RNO1581" s="35"/>
      <c r="RXJ1581" s="35"/>
      <c r="RXK1581" s="35"/>
      <c r="SHF1581" s="35"/>
      <c r="SHG1581" s="35"/>
      <c r="SRB1581" s="35"/>
      <c r="SRC1581" s="35"/>
      <c r="TAX1581" s="35"/>
      <c r="TAY1581" s="35"/>
      <c r="TKT1581" s="35"/>
      <c r="TKU1581" s="35"/>
      <c r="TUP1581" s="35"/>
      <c r="TUQ1581" s="35"/>
      <c r="UEL1581" s="35"/>
      <c r="UEM1581" s="35"/>
      <c r="UOH1581" s="35"/>
      <c r="UOI1581" s="35"/>
      <c r="UYD1581" s="35"/>
      <c r="UYE1581" s="35"/>
      <c r="VHZ1581" s="35"/>
      <c r="VIA1581" s="35"/>
      <c r="VRV1581" s="35"/>
      <c r="VRW1581" s="35"/>
      <c r="WBR1581" s="35"/>
      <c r="WBS1581" s="35"/>
      <c r="WLN1581" s="35"/>
      <c r="WLO1581" s="35"/>
      <c r="WVJ1581" s="35"/>
      <c r="WVK1581" s="35"/>
    </row>
    <row r="1582" spans="1:771 1026:1795 2050:2819 3074:3843 4098:4867 5122:5891 6146:6915 7170:7939 8194:8963 9218:9987 10242:11011 11266:12035 12290:13059 13314:14083 14338:15107 15362:16131" s="35" customFormat="1" ht="55.2" x14ac:dyDescent="0.3">
      <c r="A1582" s="28">
        <v>150</v>
      </c>
      <c r="B1582" s="29" t="s">
        <v>1251</v>
      </c>
      <c r="C1582" s="30" t="s">
        <v>2220</v>
      </c>
      <c r="D1582" s="31" t="s">
        <v>13</v>
      </c>
      <c r="E1582" s="32">
        <v>9.8000000000000007</v>
      </c>
      <c r="F1582" s="33"/>
      <c r="G1582" s="33"/>
      <c r="H1582" s="34" t="s">
        <v>1255</v>
      </c>
    </row>
    <row r="1583" spans="1:771 1026:1795 2050:2819 3074:3843 4098:4867 5122:5891 6146:6915 7170:7939 8194:8963 9218:9987 10242:11011 11266:12035 12290:13059 13314:14083 14338:15107 15362:16131" s="35" customFormat="1" x14ac:dyDescent="0.3">
      <c r="A1583" s="36"/>
      <c r="B1583" s="72" t="s">
        <v>1252</v>
      </c>
      <c r="C1583" s="38" t="s">
        <v>14</v>
      </c>
      <c r="D1583" s="39"/>
      <c r="E1583" s="44"/>
      <c r="F1583" s="40"/>
      <c r="G1583" s="41">
        <f>SUM(G1584)</f>
        <v>190894200</v>
      </c>
      <c r="H1583" s="42"/>
    </row>
    <row r="1584" spans="1:771 1026:1795 2050:2819 3074:3843 4098:4867 5122:5891 6146:6915 7170:7939 8194:8963 9218:9987 10242:11011 11266:12035 12290:13059 13314:14083 14338:15107 15362:16131" s="35" customFormat="1" ht="78" x14ac:dyDescent="0.3">
      <c r="A1584" s="36"/>
      <c r="B1584" s="72" t="s">
        <v>1253</v>
      </c>
      <c r="C1584" s="48" t="s">
        <v>38</v>
      </c>
      <c r="D1584" s="39" t="s">
        <v>13</v>
      </c>
      <c r="E1584" s="44">
        <v>9.8000000000000007</v>
      </c>
      <c r="F1584" s="161">
        <v>19479000</v>
      </c>
      <c r="G1584" s="40">
        <f>E1584*F1584</f>
        <v>190894200</v>
      </c>
      <c r="H1584" s="42"/>
    </row>
    <row r="1585" spans="1:771 1026:1795 2050:2819 3074:3843 4098:4867 5122:5891 6146:6915 7170:7939 8194:8963 9218:9987 10242:11011 11266:12035 12290:13059 13314:14083 14338:15107 15362:16131" s="35" customFormat="1" x14ac:dyDescent="0.3">
      <c r="A1585" s="36"/>
      <c r="B1585" s="72" t="s">
        <v>1254</v>
      </c>
      <c r="C1585" s="47" t="s">
        <v>35</v>
      </c>
      <c r="D1585" s="39"/>
      <c r="E1585" s="73"/>
      <c r="F1585" s="40"/>
      <c r="G1585" s="41">
        <f>SUM(G1586:G1590)</f>
        <v>16837252.800000001</v>
      </c>
      <c r="H1585" s="45"/>
    </row>
    <row r="1586" spans="1:771 1026:1795 2050:2819 3074:3843 4098:4867 5122:5891 6146:6915 7170:7939 8194:8963 9218:9987 10242:11011 11266:12035 12290:13059 13314:14083 14338:15107 15362:16131" s="77" customFormat="1" ht="78" x14ac:dyDescent="0.3">
      <c r="A1586" s="36"/>
      <c r="B1586" s="75"/>
      <c r="C1586" s="66" t="s">
        <v>1256</v>
      </c>
      <c r="D1586" s="39" t="s">
        <v>13</v>
      </c>
      <c r="E1586" s="73">
        <f>2.04*4.9</f>
        <v>9.9960000000000004</v>
      </c>
      <c r="F1586" s="74">
        <f>3592000*40%</f>
        <v>1436800</v>
      </c>
      <c r="G1586" s="40">
        <f>E1586*F1586</f>
        <v>14362252.800000001</v>
      </c>
      <c r="H1586" s="45" t="s">
        <v>2500</v>
      </c>
    </row>
    <row r="1587" spans="1:771 1026:1795 2050:2819 3074:3843 4098:4867 5122:5891 6146:6915 7170:7939 8194:8963 9218:9987 10242:11011 11266:12035 12290:13059 13314:14083 14338:15107 15362:16131" s="77" customFormat="1" x14ac:dyDescent="0.3">
      <c r="A1587" s="36"/>
      <c r="B1587" s="75"/>
      <c r="C1587" s="66" t="s">
        <v>105</v>
      </c>
      <c r="D1587" s="39" t="s">
        <v>106</v>
      </c>
      <c r="E1587" s="73">
        <v>1</v>
      </c>
      <c r="F1587" s="74"/>
      <c r="G1587" s="40">
        <f>E1587*F1587</f>
        <v>0</v>
      </c>
      <c r="H1587" s="52" t="s">
        <v>2353</v>
      </c>
    </row>
    <row r="1588" spans="1:771 1026:1795 2050:2819 3074:3843 4098:4867 5122:5891 6146:6915 7170:7939 8194:8963 9218:9987 10242:11011 11266:12035 12290:13059 13314:14083 14338:15107 15362:16131" s="77" customFormat="1" x14ac:dyDescent="0.3">
      <c r="A1588" s="36"/>
      <c r="B1588" s="75"/>
      <c r="C1588" s="66" t="s">
        <v>1257</v>
      </c>
      <c r="D1588" s="39" t="s">
        <v>19</v>
      </c>
      <c r="E1588" s="73">
        <v>8</v>
      </c>
      <c r="F1588" s="74">
        <f>42000/4</f>
        <v>10500</v>
      </c>
      <c r="G1588" s="40">
        <f>E1588*F1588</f>
        <v>84000</v>
      </c>
      <c r="H1588" s="45"/>
    </row>
    <row r="1589" spans="1:771 1026:1795 2050:2819 3074:3843 4098:4867 5122:5891 6146:6915 7170:7939 8194:8963 9218:9987 10242:11011 11266:12035 12290:13059 13314:14083 14338:15107 15362:16131" s="77" customFormat="1" ht="31.2" x14ac:dyDescent="0.3">
      <c r="A1589" s="36"/>
      <c r="B1589" s="75"/>
      <c r="C1589" s="66" t="s">
        <v>1258</v>
      </c>
      <c r="D1589" s="39" t="s">
        <v>106</v>
      </c>
      <c r="E1589" s="73">
        <v>1</v>
      </c>
      <c r="F1589" s="74">
        <f>391000+2000000</f>
        <v>2391000</v>
      </c>
      <c r="G1589" s="40">
        <f>E1589*F1589</f>
        <v>2391000</v>
      </c>
      <c r="H1589" s="45"/>
    </row>
    <row r="1590" spans="1:771 1026:1795 2050:2819 3074:3843 4098:4867 5122:5891 6146:6915 7170:7939 8194:8963 9218:9987 10242:11011 11266:12035 12290:13059 13314:14083 14338:15107 15362:16131" s="35" customFormat="1" ht="65.400000000000006" thickBot="1" x14ac:dyDescent="0.35">
      <c r="A1590" s="53"/>
      <c r="B1590" s="54"/>
      <c r="C1590" s="55" t="s">
        <v>2331</v>
      </c>
      <c r="D1590" s="56"/>
      <c r="E1590" s="5"/>
      <c r="F1590" s="6"/>
      <c r="G1590" s="57"/>
      <c r="H1590" s="58"/>
    </row>
    <row r="1591" spans="1:771 1026:1795 2050:2819 3074:3843 4098:4867 5122:5891 6146:6915 7170:7939 8194:8963 9218:9987 10242:11011 11266:12035 12290:13059 13314:14083 14338:15107 15362:16131" s="59" customFormat="1" ht="31.8" thickBot="1" x14ac:dyDescent="0.35">
      <c r="A1591" s="154"/>
      <c r="B1591" s="155" t="s">
        <v>26</v>
      </c>
      <c r="C1591" s="156"/>
      <c r="D1591" s="154"/>
      <c r="E1591" s="157"/>
      <c r="F1591" s="158"/>
      <c r="G1591" s="159">
        <f>SUM(G1582:G1590)/2</f>
        <v>207731452.80000001</v>
      </c>
      <c r="H1591" s="160"/>
      <c r="IX1591" s="35"/>
      <c r="IY1591" s="35"/>
      <c r="ST1591" s="35"/>
      <c r="SU1591" s="35"/>
      <c r="ACP1591" s="35"/>
      <c r="ACQ1591" s="35"/>
      <c r="AML1591" s="35"/>
      <c r="AMM1591" s="35"/>
      <c r="AWH1591" s="35"/>
      <c r="AWI1591" s="35"/>
      <c r="BGD1591" s="35"/>
      <c r="BGE1591" s="35"/>
      <c r="BPZ1591" s="35"/>
      <c r="BQA1591" s="35"/>
      <c r="BZV1591" s="35"/>
      <c r="BZW1591" s="35"/>
      <c r="CJR1591" s="35"/>
      <c r="CJS1591" s="35"/>
      <c r="CTN1591" s="35"/>
      <c r="CTO1591" s="35"/>
      <c r="DDJ1591" s="35"/>
      <c r="DDK1591" s="35"/>
      <c r="DNF1591" s="35"/>
      <c r="DNG1591" s="35"/>
      <c r="DXB1591" s="35"/>
      <c r="DXC1591" s="35"/>
      <c r="EGX1591" s="35"/>
      <c r="EGY1591" s="35"/>
      <c r="EQT1591" s="35"/>
      <c r="EQU1591" s="35"/>
      <c r="FAP1591" s="35"/>
      <c r="FAQ1591" s="35"/>
      <c r="FKL1591" s="35"/>
      <c r="FKM1591" s="35"/>
      <c r="FUH1591" s="35"/>
      <c r="FUI1591" s="35"/>
      <c r="GED1591" s="35"/>
      <c r="GEE1591" s="35"/>
      <c r="GNZ1591" s="35"/>
      <c r="GOA1591" s="35"/>
      <c r="GXV1591" s="35"/>
      <c r="GXW1591" s="35"/>
      <c r="HHR1591" s="35"/>
      <c r="HHS1591" s="35"/>
      <c r="HRN1591" s="35"/>
      <c r="HRO1591" s="35"/>
      <c r="IBJ1591" s="35"/>
      <c r="IBK1591" s="35"/>
      <c r="ILF1591" s="35"/>
      <c r="ILG1591" s="35"/>
      <c r="IVB1591" s="35"/>
      <c r="IVC1591" s="35"/>
      <c r="JEX1591" s="35"/>
      <c r="JEY1591" s="35"/>
      <c r="JOT1591" s="35"/>
      <c r="JOU1591" s="35"/>
      <c r="JYP1591" s="35"/>
      <c r="JYQ1591" s="35"/>
      <c r="KIL1591" s="35"/>
      <c r="KIM1591" s="35"/>
      <c r="KSH1591" s="35"/>
      <c r="KSI1591" s="35"/>
      <c r="LCD1591" s="35"/>
      <c r="LCE1591" s="35"/>
      <c r="LLZ1591" s="35"/>
      <c r="LMA1591" s="35"/>
      <c r="LVV1591" s="35"/>
      <c r="LVW1591" s="35"/>
      <c r="MFR1591" s="35"/>
      <c r="MFS1591" s="35"/>
      <c r="MPN1591" s="35"/>
      <c r="MPO1591" s="35"/>
      <c r="MZJ1591" s="35"/>
      <c r="MZK1591" s="35"/>
      <c r="NJF1591" s="35"/>
      <c r="NJG1591" s="35"/>
      <c r="NTB1591" s="35"/>
      <c r="NTC1591" s="35"/>
      <c r="OCX1591" s="35"/>
      <c r="OCY1591" s="35"/>
      <c r="OMT1591" s="35"/>
      <c r="OMU1591" s="35"/>
      <c r="OWP1591" s="35"/>
      <c r="OWQ1591" s="35"/>
      <c r="PGL1591" s="35"/>
      <c r="PGM1591" s="35"/>
      <c r="PQH1591" s="35"/>
      <c r="PQI1591" s="35"/>
      <c r="QAD1591" s="35"/>
      <c r="QAE1591" s="35"/>
      <c r="QJZ1591" s="35"/>
      <c r="QKA1591" s="35"/>
      <c r="QTV1591" s="35"/>
      <c r="QTW1591" s="35"/>
      <c r="RDR1591" s="35"/>
      <c r="RDS1591" s="35"/>
      <c r="RNN1591" s="35"/>
      <c r="RNO1591" s="35"/>
      <c r="RXJ1591" s="35"/>
      <c r="RXK1591" s="35"/>
      <c r="SHF1591" s="35"/>
      <c r="SHG1591" s="35"/>
      <c r="SRB1591" s="35"/>
      <c r="SRC1591" s="35"/>
      <c r="TAX1591" s="35"/>
      <c r="TAY1591" s="35"/>
      <c r="TKT1591" s="35"/>
      <c r="TKU1591" s="35"/>
      <c r="TUP1591" s="35"/>
      <c r="TUQ1591" s="35"/>
      <c r="UEL1591" s="35"/>
      <c r="UEM1591" s="35"/>
      <c r="UOH1591" s="35"/>
      <c r="UOI1591" s="35"/>
      <c r="UYD1591" s="35"/>
      <c r="UYE1591" s="35"/>
      <c r="VHZ1591" s="35"/>
      <c r="VIA1591" s="35"/>
      <c r="VRV1591" s="35"/>
      <c r="VRW1591" s="35"/>
      <c r="WBR1591" s="35"/>
      <c r="WBS1591" s="35"/>
      <c r="WLN1591" s="35"/>
      <c r="WLO1591" s="35"/>
      <c r="WVJ1591" s="35"/>
      <c r="WVK1591" s="35"/>
    </row>
    <row r="1592" spans="1:771 1026:1795 2050:2819 3074:3843 4098:4867 5122:5891 6146:6915 7170:7939 8194:8963 9218:9987 10242:11011 11266:12035 12290:13059 13314:14083 14338:15107 15362:16131" s="35" customFormat="1" ht="55.2" x14ac:dyDescent="0.3">
      <c r="A1592" s="28">
        <v>151</v>
      </c>
      <c r="B1592" s="29" t="s">
        <v>1259</v>
      </c>
      <c r="C1592" s="30" t="s">
        <v>1262</v>
      </c>
      <c r="D1592" s="31" t="s">
        <v>13</v>
      </c>
      <c r="E1592" s="32">
        <v>17.8</v>
      </c>
      <c r="F1592" s="33"/>
      <c r="G1592" s="33"/>
      <c r="H1592" s="34" t="s">
        <v>1261</v>
      </c>
    </row>
    <row r="1593" spans="1:771 1026:1795 2050:2819 3074:3843 4098:4867 5122:5891 6146:6915 7170:7939 8194:8963 9218:9987 10242:11011 11266:12035 12290:13059 13314:14083 14338:15107 15362:16131" s="35" customFormat="1" x14ac:dyDescent="0.3">
      <c r="A1593" s="36"/>
      <c r="B1593" s="72" t="s">
        <v>1260</v>
      </c>
      <c r="C1593" s="38" t="s">
        <v>14</v>
      </c>
      <c r="D1593" s="39"/>
      <c r="E1593" s="44"/>
      <c r="F1593" s="40"/>
      <c r="G1593" s="41">
        <f>SUM(G1594)</f>
        <v>185191200</v>
      </c>
      <c r="H1593" s="42"/>
    </row>
    <row r="1594" spans="1:771 1026:1795 2050:2819 3074:3843 4098:4867 5122:5891 6146:6915 7170:7939 8194:8963 9218:9987 10242:11011 11266:12035 12290:13059 13314:14083 14338:15107 15362:16131" s="35" customFormat="1" ht="78" x14ac:dyDescent="0.3">
      <c r="A1594" s="36"/>
      <c r="B1594" s="72" t="s">
        <v>1072</v>
      </c>
      <c r="C1594" s="43" t="s">
        <v>55</v>
      </c>
      <c r="D1594" s="39" t="s">
        <v>13</v>
      </c>
      <c r="E1594" s="73">
        <v>17.8</v>
      </c>
      <c r="F1594" s="153">
        <v>10404000</v>
      </c>
      <c r="G1594" s="40">
        <f>E1594*F1594</f>
        <v>185191200</v>
      </c>
      <c r="H1594" s="42"/>
    </row>
    <row r="1595" spans="1:771 1026:1795 2050:2819 3074:3843 4098:4867 5122:5891 6146:6915 7170:7939 8194:8963 9218:9987 10242:11011 11266:12035 12290:13059 13314:14083 14338:15107 15362:16131" s="35" customFormat="1" x14ac:dyDescent="0.3">
      <c r="A1595" s="36"/>
      <c r="B1595" s="50"/>
      <c r="C1595" s="47" t="s">
        <v>35</v>
      </c>
      <c r="D1595" s="39"/>
      <c r="E1595" s="73"/>
      <c r="F1595" s="40"/>
      <c r="G1595" s="41">
        <f>SUM(G1596:G1603)</f>
        <v>18307960</v>
      </c>
      <c r="H1595" s="45"/>
    </row>
    <row r="1596" spans="1:771 1026:1795 2050:2819 3074:3843 4098:4867 5122:5891 6146:6915 7170:7939 8194:8963 9218:9987 10242:11011 11266:12035 12290:13059 13314:14083 14338:15107 15362:16131" s="77" customFormat="1" ht="18.600000000000001" x14ac:dyDescent="0.3">
      <c r="A1596" s="36"/>
      <c r="B1596" s="75"/>
      <c r="C1596" s="66" t="s">
        <v>115</v>
      </c>
      <c r="D1596" s="39" t="s">
        <v>13</v>
      </c>
      <c r="E1596" s="73">
        <f>3.5*2</f>
        <v>7</v>
      </c>
      <c r="F1596" s="40">
        <v>100000</v>
      </c>
      <c r="G1596" s="40">
        <f t="shared" ref="G1596:G1603" si="22">E1596*F1596</f>
        <v>700000</v>
      </c>
      <c r="H1596" s="45"/>
    </row>
    <row r="1597" spans="1:771 1026:1795 2050:2819 3074:3843 4098:4867 5122:5891 6146:6915 7170:7939 8194:8963 9218:9987 10242:11011 11266:12035 12290:13059 13314:14083 14338:15107 15362:16131" s="77" customFormat="1" ht="18.600000000000001" x14ac:dyDescent="0.3">
      <c r="A1597" s="36"/>
      <c r="B1597" s="75"/>
      <c r="C1597" s="66" t="s">
        <v>496</v>
      </c>
      <c r="D1597" s="39" t="s">
        <v>13</v>
      </c>
      <c r="E1597" s="73">
        <f>4.8*2.1</f>
        <v>10.08</v>
      </c>
      <c r="F1597" s="74">
        <v>1032000</v>
      </c>
      <c r="G1597" s="40">
        <f t="shared" si="22"/>
        <v>10402560</v>
      </c>
      <c r="H1597" s="45"/>
    </row>
    <row r="1598" spans="1:771 1026:1795 2050:2819 3074:3843 4098:4867 5122:5891 6146:6915 7170:7939 8194:8963 9218:9987 10242:11011 11266:12035 12290:13059 13314:14083 14338:15107 15362:16131" s="77" customFormat="1" ht="18.600000000000001" x14ac:dyDescent="0.3">
      <c r="A1598" s="36"/>
      <c r="B1598" s="75"/>
      <c r="C1598" s="66" t="s">
        <v>232</v>
      </c>
      <c r="D1598" s="39" t="s">
        <v>104</v>
      </c>
      <c r="E1598" s="73">
        <f>(0.4*0.4*2.5)*2</f>
        <v>0.80000000000000016</v>
      </c>
      <c r="F1598" s="40">
        <v>1946000</v>
      </c>
      <c r="G1598" s="40">
        <f t="shared" si="22"/>
        <v>1556800.0000000002</v>
      </c>
      <c r="H1598" s="45"/>
    </row>
    <row r="1599" spans="1:771 1026:1795 2050:2819 3074:3843 4098:4867 5122:5891 6146:6915 7170:7939 8194:8963 9218:9987 10242:11011 11266:12035 12290:13059 13314:14083 14338:15107 15362:16131" s="77" customFormat="1" ht="18.600000000000001" x14ac:dyDescent="0.3">
      <c r="A1599" s="36"/>
      <c r="B1599" s="75"/>
      <c r="C1599" s="66" t="s">
        <v>188</v>
      </c>
      <c r="D1599" s="39" t="s">
        <v>13</v>
      </c>
      <c r="E1599" s="73">
        <f>0.4*2.5*8</f>
        <v>8</v>
      </c>
      <c r="F1599" s="74">
        <v>107000</v>
      </c>
      <c r="G1599" s="40">
        <f t="shared" si="22"/>
        <v>856000</v>
      </c>
      <c r="H1599" s="45"/>
    </row>
    <row r="1600" spans="1:771 1026:1795 2050:2819 3074:3843 4098:4867 5122:5891 6146:6915 7170:7939 8194:8963 9218:9987 10242:11011 11266:12035 12290:13059 13314:14083 14338:15107 15362:16131" s="77" customFormat="1" ht="18.600000000000001" x14ac:dyDescent="0.3">
      <c r="A1600" s="36"/>
      <c r="B1600" s="75"/>
      <c r="C1600" s="66" t="s">
        <v>420</v>
      </c>
      <c r="D1600" s="39" t="s">
        <v>104</v>
      </c>
      <c r="E1600" s="73">
        <f>0.3*0.3*2.5</f>
        <v>0.22499999999999998</v>
      </c>
      <c r="F1600" s="40">
        <v>1946000</v>
      </c>
      <c r="G1600" s="40">
        <f t="shared" si="22"/>
        <v>437849.99999999994</v>
      </c>
      <c r="H1600" s="45"/>
    </row>
    <row r="1601" spans="1:771 1026:1795 2050:2819 3074:3843 4098:4867 5122:5891 6146:6915 7170:7939 8194:8963 9218:9987 10242:11011 11266:12035 12290:13059 13314:14083 14338:15107 15362:16131" s="77" customFormat="1" ht="18.600000000000001" x14ac:dyDescent="0.3">
      <c r="A1601" s="36"/>
      <c r="B1601" s="75"/>
      <c r="C1601" s="66" t="s">
        <v>1263</v>
      </c>
      <c r="D1601" s="39" t="s">
        <v>13</v>
      </c>
      <c r="E1601" s="73">
        <f>0.3*2.5*4</f>
        <v>3</v>
      </c>
      <c r="F1601" s="74">
        <v>107000</v>
      </c>
      <c r="G1601" s="40">
        <f t="shared" si="22"/>
        <v>321000</v>
      </c>
      <c r="H1601" s="45"/>
    </row>
    <row r="1602" spans="1:771 1026:1795 2050:2819 3074:3843 4098:4867 5122:5891 6146:6915 7170:7939 8194:8963 9218:9987 10242:11011 11266:12035 12290:13059 13314:14083 14338:15107 15362:16131" s="77" customFormat="1" ht="27.6" x14ac:dyDescent="0.3">
      <c r="A1602" s="36"/>
      <c r="B1602" s="75"/>
      <c r="C1602" s="66" t="s">
        <v>1264</v>
      </c>
      <c r="D1602" s="39" t="s">
        <v>13</v>
      </c>
      <c r="E1602" s="73">
        <f>1.5*2.1</f>
        <v>3.1500000000000004</v>
      </c>
      <c r="F1602" s="74">
        <v>733000</v>
      </c>
      <c r="G1602" s="40">
        <f t="shared" si="22"/>
        <v>2308950.0000000005</v>
      </c>
      <c r="H1602" s="45" t="s">
        <v>1265</v>
      </c>
    </row>
    <row r="1603" spans="1:771 1026:1795 2050:2819 3074:3843 4098:4867 5122:5891 6146:6915 7170:7939 8194:8963 9218:9987 10242:11011 11266:12035 12290:13059 13314:14083 14338:15107 15362:16131" s="77" customFormat="1" ht="18.600000000000001" x14ac:dyDescent="0.3">
      <c r="A1603" s="36"/>
      <c r="B1603" s="75"/>
      <c r="C1603" s="66" t="s">
        <v>305</v>
      </c>
      <c r="D1603" s="39" t="s">
        <v>13</v>
      </c>
      <c r="E1603" s="73">
        <f>1.4*8.8</f>
        <v>12.32</v>
      </c>
      <c r="F1603" s="40">
        <v>140000</v>
      </c>
      <c r="G1603" s="40">
        <f t="shared" si="22"/>
        <v>1724800</v>
      </c>
      <c r="H1603" s="45"/>
    </row>
    <row r="1604" spans="1:771 1026:1795 2050:2819 3074:3843 4098:4867 5122:5891 6146:6915 7170:7939 8194:8963 9218:9987 10242:11011 11266:12035 12290:13059 13314:14083 14338:15107 15362:16131" s="35" customFormat="1" x14ac:dyDescent="0.3">
      <c r="A1604" s="36"/>
      <c r="B1604" s="46"/>
      <c r="C1604" s="51" t="s">
        <v>23</v>
      </c>
      <c r="D1604" s="39"/>
      <c r="E1604" s="1"/>
      <c r="F1604" s="2"/>
      <c r="G1604" s="41">
        <f>SUM(G1605:G1606)</f>
        <v>3060000</v>
      </c>
      <c r="H1604" s="52"/>
    </row>
    <row r="1605" spans="1:771 1026:1795 2050:2819 3074:3843 4098:4867 5122:5891 6146:6915 7170:7939 8194:8963 9218:9987 10242:11011 11266:12035 12290:13059 13314:14083 14338:15107 15362:16131" s="35" customFormat="1" x14ac:dyDescent="0.3">
      <c r="A1605" s="36"/>
      <c r="B1605" s="46"/>
      <c r="C1605" s="50" t="s">
        <v>24</v>
      </c>
      <c r="D1605" s="39" t="s">
        <v>25</v>
      </c>
      <c r="E1605" s="1">
        <f>1*30*6</f>
        <v>180</v>
      </c>
      <c r="F1605" s="2">
        <v>17000</v>
      </c>
      <c r="G1605" s="40">
        <f>E1605*F1605</f>
        <v>3060000</v>
      </c>
      <c r="H1605" s="42"/>
    </row>
    <row r="1606" spans="1:771 1026:1795 2050:2819 3074:3843 4098:4867 5122:5891 6146:6915 7170:7939 8194:8963 9218:9987 10242:11011 11266:12035 12290:13059 13314:14083 14338:15107 15362:16131" s="35" customFormat="1" ht="65.400000000000006" thickBot="1" x14ac:dyDescent="0.35">
      <c r="A1606" s="53"/>
      <c r="B1606" s="54"/>
      <c r="C1606" s="55" t="s">
        <v>2331</v>
      </c>
      <c r="D1606" s="56"/>
      <c r="E1606" s="5"/>
      <c r="F1606" s="6"/>
      <c r="G1606" s="57"/>
      <c r="H1606" s="58"/>
    </row>
    <row r="1607" spans="1:771 1026:1795 2050:2819 3074:3843 4098:4867 5122:5891 6146:6915 7170:7939 8194:8963 9218:9987 10242:11011 11266:12035 12290:13059 13314:14083 14338:15107 15362:16131" s="59" customFormat="1" ht="31.8" thickBot="1" x14ac:dyDescent="0.35">
      <c r="A1607" s="154"/>
      <c r="B1607" s="155" t="s">
        <v>26</v>
      </c>
      <c r="C1607" s="156"/>
      <c r="D1607" s="154"/>
      <c r="E1607" s="157"/>
      <c r="F1607" s="158"/>
      <c r="G1607" s="159">
        <f>SUM(G1592:G1606)/2</f>
        <v>206559160</v>
      </c>
      <c r="H1607" s="160"/>
      <c r="IX1607" s="35"/>
      <c r="IY1607" s="35"/>
      <c r="ST1607" s="35"/>
      <c r="SU1607" s="35"/>
      <c r="ACP1607" s="35"/>
      <c r="ACQ1607" s="35"/>
      <c r="AML1607" s="35"/>
      <c r="AMM1607" s="35"/>
      <c r="AWH1607" s="35"/>
      <c r="AWI1607" s="35"/>
      <c r="BGD1607" s="35"/>
      <c r="BGE1607" s="35"/>
      <c r="BPZ1607" s="35"/>
      <c r="BQA1607" s="35"/>
      <c r="BZV1607" s="35"/>
      <c r="BZW1607" s="35"/>
      <c r="CJR1607" s="35"/>
      <c r="CJS1607" s="35"/>
      <c r="CTN1607" s="35"/>
      <c r="CTO1607" s="35"/>
      <c r="DDJ1607" s="35"/>
      <c r="DDK1607" s="35"/>
      <c r="DNF1607" s="35"/>
      <c r="DNG1607" s="35"/>
      <c r="DXB1607" s="35"/>
      <c r="DXC1607" s="35"/>
      <c r="EGX1607" s="35"/>
      <c r="EGY1607" s="35"/>
      <c r="EQT1607" s="35"/>
      <c r="EQU1607" s="35"/>
      <c r="FAP1607" s="35"/>
      <c r="FAQ1607" s="35"/>
      <c r="FKL1607" s="35"/>
      <c r="FKM1607" s="35"/>
      <c r="FUH1607" s="35"/>
      <c r="FUI1607" s="35"/>
      <c r="GED1607" s="35"/>
      <c r="GEE1607" s="35"/>
      <c r="GNZ1607" s="35"/>
      <c r="GOA1607" s="35"/>
      <c r="GXV1607" s="35"/>
      <c r="GXW1607" s="35"/>
      <c r="HHR1607" s="35"/>
      <c r="HHS1607" s="35"/>
      <c r="HRN1607" s="35"/>
      <c r="HRO1607" s="35"/>
      <c r="IBJ1607" s="35"/>
      <c r="IBK1607" s="35"/>
      <c r="ILF1607" s="35"/>
      <c r="ILG1607" s="35"/>
      <c r="IVB1607" s="35"/>
      <c r="IVC1607" s="35"/>
      <c r="JEX1607" s="35"/>
      <c r="JEY1607" s="35"/>
      <c r="JOT1607" s="35"/>
      <c r="JOU1607" s="35"/>
      <c r="JYP1607" s="35"/>
      <c r="JYQ1607" s="35"/>
      <c r="KIL1607" s="35"/>
      <c r="KIM1607" s="35"/>
      <c r="KSH1607" s="35"/>
      <c r="KSI1607" s="35"/>
      <c r="LCD1607" s="35"/>
      <c r="LCE1607" s="35"/>
      <c r="LLZ1607" s="35"/>
      <c r="LMA1607" s="35"/>
      <c r="LVV1607" s="35"/>
      <c r="LVW1607" s="35"/>
      <c r="MFR1607" s="35"/>
      <c r="MFS1607" s="35"/>
      <c r="MPN1607" s="35"/>
      <c r="MPO1607" s="35"/>
      <c r="MZJ1607" s="35"/>
      <c r="MZK1607" s="35"/>
      <c r="NJF1607" s="35"/>
      <c r="NJG1607" s="35"/>
      <c r="NTB1607" s="35"/>
      <c r="NTC1607" s="35"/>
      <c r="OCX1607" s="35"/>
      <c r="OCY1607" s="35"/>
      <c r="OMT1607" s="35"/>
      <c r="OMU1607" s="35"/>
      <c r="OWP1607" s="35"/>
      <c r="OWQ1607" s="35"/>
      <c r="PGL1607" s="35"/>
      <c r="PGM1607" s="35"/>
      <c r="PQH1607" s="35"/>
      <c r="PQI1607" s="35"/>
      <c r="QAD1607" s="35"/>
      <c r="QAE1607" s="35"/>
      <c r="QJZ1607" s="35"/>
      <c r="QKA1607" s="35"/>
      <c r="QTV1607" s="35"/>
      <c r="QTW1607" s="35"/>
      <c r="RDR1607" s="35"/>
      <c r="RDS1607" s="35"/>
      <c r="RNN1607" s="35"/>
      <c r="RNO1607" s="35"/>
      <c r="RXJ1607" s="35"/>
      <c r="RXK1607" s="35"/>
      <c r="SHF1607" s="35"/>
      <c r="SHG1607" s="35"/>
      <c r="SRB1607" s="35"/>
      <c r="SRC1607" s="35"/>
      <c r="TAX1607" s="35"/>
      <c r="TAY1607" s="35"/>
      <c r="TKT1607" s="35"/>
      <c r="TKU1607" s="35"/>
      <c r="TUP1607" s="35"/>
      <c r="TUQ1607" s="35"/>
      <c r="UEL1607" s="35"/>
      <c r="UEM1607" s="35"/>
      <c r="UOH1607" s="35"/>
      <c r="UOI1607" s="35"/>
      <c r="UYD1607" s="35"/>
      <c r="UYE1607" s="35"/>
      <c r="VHZ1607" s="35"/>
      <c r="VIA1607" s="35"/>
      <c r="VRV1607" s="35"/>
      <c r="VRW1607" s="35"/>
      <c r="WBR1607" s="35"/>
      <c r="WBS1607" s="35"/>
      <c r="WLN1607" s="35"/>
      <c r="WLO1607" s="35"/>
      <c r="WVJ1607" s="35"/>
      <c r="WVK1607" s="35"/>
    </row>
    <row r="1608" spans="1:771 1026:1795 2050:2819 3074:3843 4098:4867 5122:5891 6146:6915 7170:7939 8194:8963 9218:9987 10242:11011 11266:12035 12290:13059 13314:14083 14338:15107 15362:16131" s="35" customFormat="1" ht="55.2" x14ac:dyDescent="0.3">
      <c r="A1608" s="28">
        <v>152</v>
      </c>
      <c r="B1608" s="29" t="s">
        <v>2258</v>
      </c>
      <c r="C1608" s="30" t="s">
        <v>1269</v>
      </c>
      <c r="D1608" s="31" t="s">
        <v>13</v>
      </c>
      <c r="E1608" s="32">
        <v>8.6</v>
      </c>
      <c r="F1608" s="33"/>
      <c r="G1608" s="33"/>
      <c r="H1608" s="34" t="s">
        <v>1268</v>
      </c>
    </row>
    <row r="1609" spans="1:771 1026:1795 2050:2819 3074:3843 4098:4867 5122:5891 6146:6915 7170:7939 8194:8963 9218:9987 10242:11011 11266:12035 12290:13059 13314:14083 14338:15107 15362:16131" s="35" customFormat="1" x14ac:dyDescent="0.3">
      <c r="A1609" s="36"/>
      <c r="B1609" s="72" t="s">
        <v>1260</v>
      </c>
      <c r="C1609" s="38" t="s">
        <v>14</v>
      </c>
      <c r="D1609" s="39"/>
      <c r="E1609" s="44"/>
      <c r="F1609" s="40"/>
      <c r="G1609" s="41">
        <f>SUM(G1610)</f>
        <v>89474400</v>
      </c>
      <c r="H1609" s="42"/>
    </row>
    <row r="1610" spans="1:771 1026:1795 2050:2819 3074:3843 4098:4867 5122:5891 6146:6915 7170:7939 8194:8963 9218:9987 10242:11011 11266:12035 12290:13059 13314:14083 14338:15107 15362:16131" s="35" customFormat="1" ht="78" x14ac:dyDescent="0.3">
      <c r="A1610" s="36"/>
      <c r="B1610" s="72" t="s">
        <v>1266</v>
      </c>
      <c r="C1610" s="43" t="s">
        <v>55</v>
      </c>
      <c r="D1610" s="39" t="s">
        <v>13</v>
      </c>
      <c r="E1610" s="73">
        <v>8.6</v>
      </c>
      <c r="F1610" s="153">
        <v>10404000</v>
      </c>
      <c r="G1610" s="40">
        <f>E1610*F1610</f>
        <v>89474400</v>
      </c>
      <c r="H1610" s="42"/>
    </row>
    <row r="1611" spans="1:771 1026:1795 2050:2819 3074:3843 4098:4867 5122:5891 6146:6915 7170:7939 8194:8963 9218:9987 10242:11011 11266:12035 12290:13059 13314:14083 14338:15107 15362:16131" s="35" customFormat="1" x14ac:dyDescent="0.3">
      <c r="A1611" s="36"/>
      <c r="B1611" s="72" t="s">
        <v>1267</v>
      </c>
      <c r="C1611" s="47" t="s">
        <v>35</v>
      </c>
      <c r="D1611" s="39"/>
      <c r="E1611" s="73"/>
      <c r="F1611" s="40"/>
      <c r="G1611" s="41">
        <f>SUM(G1612:G1613)</f>
        <v>9543524.7999999989</v>
      </c>
      <c r="H1611" s="45"/>
    </row>
    <row r="1612" spans="1:771 1026:1795 2050:2819 3074:3843 4098:4867 5122:5891 6146:6915 7170:7939 8194:8963 9218:9987 10242:11011 11266:12035 12290:13059 13314:14083 14338:15107 15362:16131" s="77" customFormat="1" ht="93.6" x14ac:dyDescent="0.3">
      <c r="A1612" s="36"/>
      <c r="B1612" s="75"/>
      <c r="C1612" s="66" t="s">
        <v>1270</v>
      </c>
      <c r="D1612" s="39" t="s">
        <v>13</v>
      </c>
      <c r="E1612" s="73">
        <v>5.9859999999999998</v>
      </c>
      <c r="F1612" s="74">
        <f>3592000*40%</f>
        <v>1436800</v>
      </c>
      <c r="G1612" s="40">
        <f>E1612*F1612</f>
        <v>8600684.7999999989</v>
      </c>
      <c r="H1612" s="45" t="s">
        <v>2501</v>
      </c>
    </row>
    <row r="1613" spans="1:771 1026:1795 2050:2819 3074:3843 4098:4867 5122:5891 6146:6915 7170:7939 8194:8963 9218:9987 10242:11011 11266:12035 12290:13059 13314:14083 14338:15107 15362:16131" s="77" customFormat="1" ht="31.2" x14ac:dyDescent="0.3">
      <c r="A1613" s="36"/>
      <c r="B1613" s="75"/>
      <c r="C1613" s="66" t="s">
        <v>1271</v>
      </c>
      <c r="D1613" s="39" t="s">
        <v>13</v>
      </c>
      <c r="E1613" s="73">
        <v>4.3650000000000002</v>
      </c>
      <c r="F1613" s="74">
        <f>540000*40%</f>
        <v>216000</v>
      </c>
      <c r="G1613" s="40">
        <f>E1613*F1613</f>
        <v>942840</v>
      </c>
      <c r="H1613" s="45" t="s">
        <v>2374</v>
      </c>
    </row>
    <row r="1614" spans="1:771 1026:1795 2050:2819 3074:3843 4098:4867 5122:5891 6146:6915 7170:7939 8194:8963 9218:9987 10242:11011 11266:12035 12290:13059 13314:14083 14338:15107 15362:16131" s="35" customFormat="1" x14ac:dyDescent="0.3">
      <c r="A1614" s="36"/>
      <c r="B1614" s="46"/>
      <c r="C1614" s="51" t="s">
        <v>23</v>
      </c>
      <c r="D1614" s="39"/>
      <c r="E1614" s="1"/>
      <c r="F1614" s="2"/>
      <c r="G1614" s="41">
        <f>SUM(G1615)</f>
        <v>6120000</v>
      </c>
      <c r="H1614" s="52"/>
    </row>
    <row r="1615" spans="1:771 1026:1795 2050:2819 3074:3843 4098:4867 5122:5891 6146:6915 7170:7939 8194:8963 9218:9987 10242:11011 11266:12035 12290:13059 13314:14083 14338:15107 15362:16131" s="35" customFormat="1" x14ac:dyDescent="0.3">
      <c r="A1615" s="36"/>
      <c r="B1615" s="46"/>
      <c r="C1615" s="50" t="s">
        <v>24</v>
      </c>
      <c r="D1615" s="39" t="s">
        <v>25</v>
      </c>
      <c r="E1615" s="1">
        <f>2*30*6</f>
        <v>360</v>
      </c>
      <c r="F1615" s="2">
        <v>17000</v>
      </c>
      <c r="G1615" s="40">
        <f>E1615*F1615</f>
        <v>6120000</v>
      </c>
      <c r="H1615" s="42"/>
    </row>
    <row r="1616" spans="1:771 1026:1795 2050:2819 3074:3843 4098:4867 5122:5891 6146:6915 7170:7939 8194:8963 9218:9987 10242:11011 11266:12035 12290:13059 13314:14083 14338:15107 15362:16131" s="35" customFormat="1" ht="65.400000000000006" thickBot="1" x14ac:dyDescent="0.35">
      <c r="A1616" s="53"/>
      <c r="B1616" s="54"/>
      <c r="C1616" s="55" t="s">
        <v>2331</v>
      </c>
      <c r="D1616" s="56"/>
      <c r="E1616" s="5"/>
      <c r="F1616" s="6"/>
      <c r="G1616" s="57"/>
      <c r="H1616" s="58"/>
    </row>
    <row r="1617" spans="1:771 1026:1795 2050:2819 3074:3843 4098:4867 5122:5891 6146:6915 7170:7939 8194:8963 9218:9987 10242:11011 11266:12035 12290:13059 13314:14083 14338:15107 15362:16131" s="59" customFormat="1" ht="31.8" thickBot="1" x14ac:dyDescent="0.35">
      <c r="A1617" s="154"/>
      <c r="B1617" s="155" t="s">
        <v>26</v>
      </c>
      <c r="C1617" s="156"/>
      <c r="D1617" s="154"/>
      <c r="E1617" s="157"/>
      <c r="F1617" s="158"/>
      <c r="G1617" s="159">
        <f>SUM(G1608:G1616)/2</f>
        <v>105137924.80000001</v>
      </c>
      <c r="H1617" s="160"/>
      <c r="IX1617" s="35"/>
      <c r="IY1617" s="35"/>
      <c r="ST1617" s="35"/>
      <c r="SU1617" s="35"/>
      <c r="ACP1617" s="35"/>
      <c r="ACQ1617" s="35"/>
      <c r="AML1617" s="35"/>
      <c r="AMM1617" s="35"/>
      <c r="AWH1617" s="35"/>
      <c r="AWI1617" s="35"/>
      <c r="BGD1617" s="35"/>
      <c r="BGE1617" s="35"/>
      <c r="BPZ1617" s="35"/>
      <c r="BQA1617" s="35"/>
      <c r="BZV1617" s="35"/>
      <c r="BZW1617" s="35"/>
      <c r="CJR1617" s="35"/>
      <c r="CJS1617" s="35"/>
      <c r="CTN1617" s="35"/>
      <c r="CTO1617" s="35"/>
      <c r="DDJ1617" s="35"/>
      <c r="DDK1617" s="35"/>
      <c r="DNF1617" s="35"/>
      <c r="DNG1617" s="35"/>
      <c r="DXB1617" s="35"/>
      <c r="DXC1617" s="35"/>
      <c r="EGX1617" s="35"/>
      <c r="EGY1617" s="35"/>
      <c r="EQT1617" s="35"/>
      <c r="EQU1617" s="35"/>
      <c r="FAP1617" s="35"/>
      <c r="FAQ1617" s="35"/>
      <c r="FKL1617" s="35"/>
      <c r="FKM1617" s="35"/>
      <c r="FUH1617" s="35"/>
      <c r="FUI1617" s="35"/>
      <c r="GED1617" s="35"/>
      <c r="GEE1617" s="35"/>
      <c r="GNZ1617" s="35"/>
      <c r="GOA1617" s="35"/>
      <c r="GXV1617" s="35"/>
      <c r="GXW1617" s="35"/>
      <c r="HHR1617" s="35"/>
      <c r="HHS1617" s="35"/>
      <c r="HRN1617" s="35"/>
      <c r="HRO1617" s="35"/>
      <c r="IBJ1617" s="35"/>
      <c r="IBK1617" s="35"/>
      <c r="ILF1617" s="35"/>
      <c r="ILG1617" s="35"/>
      <c r="IVB1617" s="35"/>
      <c r="IVC1617" s="35"/>
      <c r="JEX1617" s="35"/>
      <c r="JEY1617" s="35"/>
      <c r="JOT1617" s="35"/>
      <c r="JOU1617" s="35"/>
      <c r="JYP1617" s="35"/>
      <c r="JYQ1617" s="35"/>
      <c r="KIL1617" s="35"/>
      <c r="KIM1617" s="35"/>
      <c r="KSH1617" s="35"/>
      <c r="KSI1617" s="35"/>
      <c r="LCD1617" s="35"/>
      <c r="LCE1617" s="35"/>
      <c r="LLZ1617" s="35"/>
      <c r="LMA1617" s="35"/>
      <c r="LVV1617" s="35"/>
      <c r="LVW1617" s="35"/>
      <c r="MFR1617" s="35"/>
      <c r="MFS1617" s="35"/>
      <c r="MPN1617" s="35"/>
      <c r="MPO1617" s="35"/>
      <c r="MZJ1617" s="35"/>
      <c r="MZK1617" s="35"/>
      <c r="NJF1617" s="35"/>
      <c r="NJG1617" s="35"/>
      <c r="NTB1617" s="35"/>
      <c r="NTC1617" s="35"/>
      <c r="OCX1617" s="35"/>
      <c r="OCY1617" s="35"/>
      <c r="OMT1617" s="35"/>
      <c r="OMU1617" s="35"/>
      <c r="OWP1617" s="35"/>
      <c r="OWQ1617" s="35"/>
      <c r="PGL1617" s="35"/>
      <c r="PGM1617" s="35"/>
      <c r="PQH1617" s="35"/>
      <c r="PQI1617" s="35"/>
      <c r="QAD1617" s="35"/>
      <c r="QAE1617" s="35"/>
      <c r="QJZ1617" s="35"/>
      <c r="QKA1617" s="35"/>
      <c r="QTV1617" s="35"/>
      <c r="QTW1617" s="35"/>
      <c r="RDR1617" s="35"/>
      <c r="RDS1617" s="35"/>
      <c r="RNN1617" s="35"/>
      <c r="RNO1617" s="35"/>
      <c r="RXJ1617" s="35"/>
      <c r="RXK1617" s="35"/>
      <c r="SHF1617" s="35"/>
      <c r="SHG1617" s="35"/>
      <c r="SRB1617" s="35"/>
      <c r="SRC1617" s="35"/>
      <c r="TAX1617" s="35"/>
      <c r="TAY1617" s="35"/>
      <c r="TKT1617" s="35"/>
      <c r="TKU1617" s="35"/>
      <c r="TUP1617" s="35"/>
      <c r="TUQ1617" s="35"/>
      <c r="UEL1617" s="35"/>
      <c r="UEM1617" s="35"/>
      <c r="UOH1617" s="35"/>
      <c r="UOI1617" s="35"/>
      <c r="UYD1617" s="35"/>
      <c r="UYE1617" s="35"/>
      <c r="VHZ1617" s="35"/>
      <c r="VIA1617" s="35"/>
      <c r="VRV1617" s="35"/>
      <c r="VRW1617" s="35"/>
      <c r="WBR1617" s="35"/>
      <c r="WBS1617" s="35"/>
      <c r="WLN1617" s="35"/>
      <c r="WLO1617" s="35"/>
      <c r="WVJ1617" s="35"/>
      <c r="WVK1617" s="35"/>
    </row>
    <row r="1618" spans="1:771 1026:1795 2050:2819 3074:3843 4098:4867 5122:5891 6146:6915 7170:7939 8194:8963 9218:9987 10242:11011 11266:12035 12290:13059 13314:14083 14338:15107 15362:16131" s="35" customFormat="1" ht="55.2" x14ac:dyDescent="0.3">
      <c r="A1618" s="28">
        <v>153</v>
      </c>
      <c r="B1618" s="29" t="s">
        <v>1272</v>
      </c>
      <c r="C1618" s="30" t="s">
        <v>1273</v>
      </c>
      <c r="D1618" s="31" t="s">
        <v>13</v>
      </c>
      <c r="E1618" s="32">
        <v>11.5</v>
      </c>
      <c r="F1618" s="33"/>
      <c r="G1618" s="33"/>
      <c r="H1618" s="34" t="s">
        <v>1274</v>
      </c>
    </row>
    <row r="1619" spans="1:771 1026:1795 2050:2819 3074:3843 4098:4867 5122:5891 6146:6915 7170:7939 8194:8963 9218:9987 10242:11011 11266:12035 12290:13059 13314:14083 14338:15107 15362:16131" s="35" customFormat="1" x14ac:dyDescent="0.3">
      <c r="A1619" s="36"/>
      <c r="B1619" s="72" t="s">
        <v>1278</v>
      </c>
      <c r="C1619" s="38" t="s">
        <v>14</v>
      </c>
      <c r="D1619" s="39"/>
      <c r="E1619" s="44"/>
      <c r="F1619" s="40"/>
      <c r="G1619" s="41">
        <f>SUM(G1620)</f>
        <v>119646000</v>
      </c>
      <c r="H1619" s="42"/>
    </row>
    <row r="1620" spans="1:771 1026:1795 2050:2819 3074:3843 4098:4867 5122:5891 6146:6915 7170:7939 8194:8963 9218:9987 10242:11011 11266:12035 12290:13059 13314:14083 14338:15107 15362:16131" s="35" customFormat="1" ht="78" x14ac:dyDescent="0.3">
      <c r="A1620" s="36"/>
      <c r="B1620" s="72" t="s">
        <v>1279</v>
      </c>
      <c r="C1620" s="43" t="s">
        <v>55</v>
      </c>
      <c r="D1620" s="39" t="s">
        <v>13</v>
      </c>
      <c r="E1620" s="73">
        <v>11.5</v>
      </c>
      <c r="F1620" s="153">
        <v>10404000</v>
      </c>
      <c r="G1620" s="40">
        <f>E1620*F1620</f>
        <v>119646000</v>
      </c>
      <c r="H1620" s="42"/>
    </row>
    <row r="1621" spans="1:771 1026:1795 2050:2819 3074:3843 4098:4867 5122:5891 6146:6915 7170:7939 8194:8963 9218:9987 10242:11011 11266:12035 12290:13059 13314:14083 14338:15107 15362:16131" s="35" customFormat="1" x14ac:dyDescent="0.3">
      <c r="A1621" s="36"/>
      <c r="B1621" s="72" t="s">
        <v>1280</v>
      </c>
      <c r="C1621" s="47" t="s">
        <v>35</v>
      </c>
      <c r="D1621" s="39"/>
      <c r="E1621" s="73"/>
      <c r="F1621" s="40"/>
      <c r="G1621" s="41">
        <f>SUM(G1622:G1624)</f>
        <v>205000</v>
      </c>
      <c r="H1621" s="45"/>
    </row>
    <row r="1622" spans="1:771 1026:1795 2050:2819 3074:3843 4098:4867 5122:5891 6146:6915 7170:7939 8194:8963 9218:9987 10242:11011 11266:12035 12290:13059 13314:14083 14338:15107 15362:16131" s="77" customFormat="1" ht="109.2" x14ac:dyDescent="0.3">
      <c r="A1622" s="36"/>
      <c r="B1622" s="75"/>
      <c r="C1622" s="66" t="s">
        <v>1275</v>
      </c>
      <c r="D1622" s="39" t="s">
        <v>13</v>
      </c>
      <c r="E1622" s="73">
        <v>1.26</v>
      </c>
      <c r="F1622" s="74"/>
      <c r="G1622" s="40">
        <f>E1622*F1622</f>
        <v>0</v>
      </c>
      <c r="H1622" s="45" t="s">
        <v>2502</v>
      </c>
    </row>
    <row r="1623" spans="1:771 1026:1795 2050:2819 3074:3843 4098:4867 5122:5891 6146:6915 7170:7939 8194:8963 9218:9987 10242:11011 11266:12035 12290:13059 13314:14083 14338:15107 15362:16131" s="77" customFormat="1" ht="31.2" x14ac:dyDescent="0.3">
      <c r="A1623" s="36"/>
      <c r="B1623" s="75"/>
      <c r="C1623" s="66" t="s">
        <v>1276</v>
      </c>
      <c r="D1623" s="39" t="s">
        <v>13</v>
      </c>
      <c r="E1623" s="73">
        <v>12.48</v>
      </c>
      <c r="F1623" s="74"/>
      <c r="G1623" s="40">
        <f>E1623*F1623</f>
        <v>0</v>
      </c>
      <c r="H1623" s="45" t="s">
        <v>179</v>
      </c>
    </row>
    <row r="1624" spans="1:771 1026:1795 2050:2819 3074:3843 4098:4867 5122:5891 6146:6915 7170:7939 8194:8963 9218:9987 10242:11011 11266:12035 12290:13059 13314:14083 14338:15107 15362:16131" s="77" customFormat="1" ht="18.600000000000001" x14ac:dyDescent="0.3">
      <c r="A1624" s="36"/>
      <c r="B1624" s="75"/>
      <c r="C1624" s="66" t="s">
        <v>900</v>
      </c>
      <c r="D1624" s="39" t="s">
        <v>13</v>
      </c>
      <c r="E1624" s="73">
        <v>5</v>
      </c>
      <c r="F1624" s="40">
        <v>41000</v>
      </c>
      <c r="G1624" s="40">
        <f>E1624*F1624</f>
        <v>205000</v>
      </c>
      <c r="H1624" s="45"/>
    </row>
    <row r="1625" spans="1:771 1026:1795 2050:2819 3074:3843 4098:4867 5122:5891 6146:6915 7170:7939 8194:8963 9218:9987 10242:11011 11266:12035 12290:13059 13314:14083 14338:15107 15362:16131" s="35" customFormat="1" x14ac:dyDescent="0.3">
      <c r="A1625" s="36"/>
      <c r="B1625" s="46"/>
      <c r="C1625" s="51" t="s">
        <v>23</v>
      </c>
      <c r="D1625" s="39"/>
      <c r="E1625" s="1"/>
      <c r="F1625" s="2"/>
      <c r="G1625" s="41">
        <f>SUM(G1626)</f>
        <v>6120000</v>
      </c>
      <c r="H1625" s="52"/>
    </row>
    <row r="1626" spans="1:771 1026:1795 2050:2819 3074:3843 4098:4867 5122:5891 6146:6915 7170:7939 8194:8963 9218:9987 10242:11011 11266:12035 12290:13059 13314:14083 14338:15107 15362:16131" s="35" customFormat="1" x14ac:dyDescent="0.3">
      <c r="A1626" s="36"/>
      <c r="B1626" s="46"/>
      <c r="C1626" s="50" t="s">
        <v>24</v>
      </c>
      <c r="D1626" s="39" t="s">
        <v>25</v>
      </c>
      <c r="E1626" s="1">
        <f>2*30*6</f>
        <v>360</v>
      </c>
      <c r="F1626" s="2">
        <v>17000</v>
      </c>
      <c r="G1626" s="40">
        <f>E1626*F1626</f>
        <v>6120000</v>
      </c>
      <c r="H1626" s="42"/>
    </row>
    <row r="1627" spans="1:771 1026:1795 2050:2819 3074:3843 4098:4867 5122:5891 6146:6915 7170:7939 8194:8963 9218:9987 10242:11011 11266:12035 12290:13059 13314:14083 14338:15107 15362:16131" s="35" customFormat="1" ht="65.400000000000006" thickBot="1" x14ac:dyDescent="0.35">
      <c r="A1627" s="53"/>
      <c r="B1627" s="54"/>
      <c r="C1627" s="55" t="s">
        <v>2331</v>
      </c>
      <c r="D1627" s="56"/>
      <c r="E1627" s="5"/>
      <c r="F1627" s="6"/>
      <c r="G1627" s="57"/>
      <c r="H1627" s="58"/>
    </row>
    <row r="1628" spans="1:771 1026:1795 2050:2819 3074:3843 4098:4867 5122:5891 6146:6915 7170:7939 8194:8963 9218:9987 10242:11011 11266:12035 12290:13059 13314:14083 14338:15107 15362:16131" s="59" customFormat="1" ht="31.8" thickBot="1" x14ac:dyDescent="0.35">
      <c r="A1628" s="154"/>
      <c r="B1628" s="155" t="s">
        <v>26</v>
      </c>
      <c r="C1628" s="156"/>
      <c r="D1628" s="154"/>
      <c r="E1628" s="157"/>
      <c r="F1628" s="158"/>
      <c r="G1628" s="159">
        <f>SUM(G1618:G1627)/2</f>
        <v>125971000</v>
      </c>
      <c r="H1628" s="160"/>
      <c r="IX1628" s="35"/>
      <c r="IY1628" s="35"/>
      <c r="ST1628" s="35"/>
      <c r="SU1628" s="35"/>
      <c r="ACP1628" s="35"/>
      <c r="ACQ1628" s="35"/>
      <c r="AML1628" s="35"/>
      <c r="AMM1628" s="35"/>
      <c r="AWH1628" s="35"/>
      <c r="AWI1628" s="35"/>
      <c r="BGD1628" s="35"/>
      <c r="BGE1628" s="35"/>
      <c r="BPZ1628" s="35"/>
      <c r="BQA1628" s="35"/>
      <c r="BZV1628" s="35"/>
      <c r="BZW1628" s="35"/>
      <c r="CJR1628" s="35"/>
      <c r="CJS1628" s="35"/>
      <c r="CTN1628" s="35"/>
      <c r="CTO1628" s="35"/>
      <c r="DDJ1628" s="35"/>
      <c r="DDK1628" s="35"/>
      <c r="DNF1628" s="35"/>
      <c r="DNG1628" s="35"/>
      <c r="DXB1628" s="35"/>
      <c r="DXC1628" s="35"/>
      <c r="EGX1628" s="35"/>
      <c r="EGY1628" s="35"/>
      <c r="EQT1628" s="35"/>
      <c r="EQU1628" s="35"/>
      <c r="FAP1628" s="35"/>
      <c r="FAQ1628" s="35"/>
      <c r="FKL1628" s="35"/>
      <c r="FKM1628" s="35"/>
      <c r="FUH1628" s="35"/>
      <c r="FUI1628" s="35"/>
      <c r="GED1628" s="35"/>
      <c r="GEE1628" s="35"/>
      <c r="GNZ1628" s="35"/>
      <c r="GOA1628" s="35"/>
      <c r="GXV1628" s="35"/>
      <c r="GXW1628" s="35"/>
      <c r="HHR1628" s="35"/>
      <c r="HHS1628" s="35"/>
      <c r="HRN1628" s="35"/>
      <c r="HRO1628" s="35"/>
      <c r="IBJ1628" s="35"/>
      <c r="IBK1628" s="35"/>
      <c r="ILF1628" s="35"/>
      <c r="ILG1628" s="35"/>
      <c r="IVB1628" s="35"/>
      <c r="IVC1628" s="35"/>
      <c r="JEX1628" s="35"/>
      <c r="JEY1628" s="35"/>
      <c r="JOT1628" s="35"/>
      <c r="JOU1628" s="35"/>
      <c r="JYP1628" s="35"/>
      <c r="JYQ1628" s="35"/>
      <c r="KIL1628" s="35"/>
      <c r="KIM1628" s="35"/>
      <c r="KSH1628" s="35"/>
      <c r="KSI1628" s="35"/>
      <c r="LCD1628" s="35"/>
      <c r="LCE1628" s="35"/>
      <c r="LLZ1628" s="35"/>
      <c r="LMA1628" s="35"/>
      <c r="LVV1628" s="35"/>
      <c r="LVW1628" s="35"/>
      <c r="MFR1628" s="35"/>
      <c r="MFS1628" s="35"/>
      <c r="MPN1628" s="35"/>
      <c r="MPO1628" s="35"/>
      <c r="MZJ1628" s="35"/>
      <c r="MZK1628" s="35"/>
      <c r="NJF1628" s="35"/>
      <c r="NJG1628" s="35"/>
      <c r="NTB1628" s="35"/>
      <c r="NTC1628" s="35"/>
      <c r="OCX1628" s="35"/>
      <c r="OCY1628" s="35"/>
      <c r="OMT1628" s="35"/>
      <c r="OMU1628" s="35"/>
      <c r="OWP1628" s="35"/>
      <c r="OWQ1628" s="35"/>
      <c r="PGL1628" s="35"/>
      <c r="PGM1628" s="35"/>
      <c r="PQH1628" s="35"/>
      <c r="PQI1628" s="35"/>
      <c r="QAD1628" s="35"/>
      <c r="QAE1628" s="35"/>
      <c r="QJZ1628" s="35"/>
      <c r="QKA1628" s="35"/>
      <c r="QTV1628" s="35"/>
      <c r="QTW1628" s="35"/>
      <c r="RDR1628" s="35"/>
      <c r="RDS1628" s="35"/>
      <c r="RNN1628" s="35"/>
      <c r="RNO1628" s="35"/>
      <c r="RXJ1628" s="35"/>
      <c r="RXK1628" s="35"/>
      <c r="SHF1628" s="35"/>
      <c r="SHG1628" s="35"/>
      <c r="SRB1628" s="35"/>
      <c r="SRC1628" s="35"/>
      <c r="TAX1628" s="35"/>
      <c r="TAY1628" s="35"/>
      <c r="TKT1628" s="35"/>
      <c r="TKU1628" s="35"/>
      <c r="TUP1628" s="35"/>
      <c r="TUQ1628" s="35"/>
      <c r="UEL1628" s="35"/>
      <c r="UEM1628" s="35"/>
      <c r="UOH1628" s="35"/>
      <c r="UOI1628" s="35"/>
      <c r="UYD1628" s="35"/>
      <c r="UYE1628" s="35"/>
      <c r="VHZ1628" s="35"/>
      <c r="VIA1628" s="35"/>
      <c r="VRV1628" s="35"/>
      <c r="VRW1628" s="35"/>
      <c r="WBR1628" s="35"/>
      <c r="WBS1628" s="35"/>
      <c r="WLN1628" s="35"/>
      <c r="WLO1628" s="35"/>
      <c r="WVJ1628" s="35"/>
      <c r="WVK1628" s="35"/>
    </row>
    <row r="1629" spans="1:771 1026:1795 2050:2819 3074:3843 4098:4867 5122:5891 6146:6915 7170:7939 8194:8963 9218:9987 10242:11011 11266:12035 12290:13059 13314:14083 14338:15107 15362:16131" s="35" customFormat="1" ht="55.2" x14ac:dyDescent="0.3">
      <c r="A1629" s="28">
        <v>154</v>
      </c>
      <c r="B1629" s="29" t="s">
        <v>1277</v>
      </c>
      <c r="C1629" s="30" t="s">
        <v>2260</v>
      </c>
      <c r="D1629" s="31" t="s">
        <v>13</v>
      </c>
      <c r="E1629" s="32">
        <v>10.3</v>
      </c>
      <c r="F1629" s="33"/>
      <c r="G1629" s="33"/>
      <c r="H1629" s="34" t="s">
        <v>2261</v>
      </c>
    </row>
    <row r="1630" spans="1:771 1026:1795 2050:2819 3074:3843 4098:4867 5122:5891 6146:6915 7170:7939 8194:8963 9218:9987 10242:11011 11266:12035 12290:13059 13314:14083 14338:15107 15362:16131" s="35" customFormat="1" x14ac:dyDescent="0.3">
      <c r="A1630" s="36"/>
      <c r="B1630" s="72" t="s">
        <v>326</v>
      </c>
      <c r="C1630" s="38" t="s">
        <v>14</v>
      </c>
      <c r="D1630" s="39"/>
      <c r="E1630" s="44"/>
      <c r="F1630" s="40"/>
      <c r="G1630" s="41">
        <f>SUM(G1631)</f>
        <v>107161200</v>
      </c>
      <c r="H1630" s="42"/>
    </row>
    <row r="1631" spans="1:771 1026:1795 2050:2819 3074:3843 4098:4867 5122:5891 6146:6915 7170:7939 8194:8963 9218:9987 10242:11011 11266:12035 12290:13059 13314:14083 14338:15107 15362:16131" s="35" customFormat="1" ht="78" x14ac:dyDescent="0.3">
      <c r="A1631" s="36"/>
      <c r="B1631" s="72" t="s">
        <v>582</v>
      </c>
      <c r="C1631" s="43" t="s">
        <v>55</v>
      </c>
      <c r="D1631" s="39" t="s">
        <v>13</v>
      </c>
      <c r="E1631" s="73">
        <v>10.3</v>
      </c>
      <c r="F1631" s="153">
        <v>10404000</v>
      </c>
      <c r="G1631" s="40">
        <f>E1631*F1631</f>
        <v>107161200</v>
      </c>
      <c r="H1631" s="42"/>
    </row>
    <row r="1632" spans="1:771 1026:1795 2050:2819 3074:3843 4098:4867 5122:5891 6146:6915 7170:7939 8194:8963 9218:9987 10242:11011 11266:12035 12290:13059 13314:14083 14338:15107 15362:16131" s="35" customFormat="1" x14ac:dyDescent="0.3">
      <c r="A1632" s="36"/>
      <c r="B1632" s="50"/>
      <c r="C1632" s="47" t="s">
        <v>35</v>
      </c>
      <c r="D1632" s="39"/>
      <c r="E1632" s="73"/>
      <c r="F1632" s="40"/>
      <c r="G1632" s="41">
        <f>SUM(G1633:G1634)</f>
        <v>9308640</v>
      </c>
      <c r="H1632" s="45"/>
    </row>
    <row r="1633" spans="1:771 1026:1795 2050:2819 3074:3843 4098:4867 5122:5891 6146:6915 7170:7939 8194:8963 9218:9987 10242:11011 11266:12035 12290:13059 13314:14083 14338:15107 15362:16131" s="77" customFormat="1" ht="55.2" x14ac:dyDescent="0.3">
      <c r="A1633" s="36"/>
      <c r="B1633" s="75"/>
      <c r="C1633" s="66" t="s">
        <v>1281</v>
      </c>
      <c r="D1633" s="39" t="s">
        <v>13</v>
      </c>
      <c r="E1633" s="73">
        <f>2*6</f>
        <v>12</v>
      </c>
      <c r="F1633" s="74"/>
      <c r="G1633" s="40">
        <f>E1633*F1633</f>
        <v>0</v>
      </c>
      <c r="H1633" s="45" t="s">
        <v>2503</v>
      </c>
    </row>
    <row r="1634" spans="1:771 1026:1795 2050:2819 3074:3843 4098:4867 5122:5891 6146:6915 7170:7939 8194:8963 9218:9987 10242:11011 11266:12035 12290:13059 13314:14083 14338:15107 15362:16131" s="77" customFormat="1" ht="46.8" x14ac:dyDescent="0.3">
      <c r="A1634" s="36"/>
      <c r="B1634" s="75"/>
      <c r="C1634" s="66" t="s">
        <v>1282</v>
      </c>
      <c r="D1634" s="39" t="s">
        <v>13</v>
      </c>
      <c r="E1634" s="73">
        <f>(3.5*1.8)+(1.7*1.6)</f>
        <v>9.02</v>
      </c>
      <c r="F1634" s="74">
        <v>1032000</v>
      </c>
      <c r="G1634" s="40">
        <f>E1634*F1634</f>
        <v>9308640</v>
      </c>
      <c r="H1634" s="45"/>
    </row>
    <row r="1635" spans="1:771 1026:1795 2050:2819 3074:3843 4098:4867 5122:5891 6146:6915 7170:7939 8194:8963 9218:9987 10242:11011 11266:12035 12290:13059 13314:14083 14338:15107 15362:16131" s="35" customFormat="1" x14ac:dyDescent="0.3">
      <c r="A1635" s="36"/>
      <c r="B1635" s="46"/>
      <c r="C1635" s="51" t="s">
        <v>23</v>
      </c>
      <c r="D1635" s="39"/>
      <c r="E1635" s="1"/>
      <c r="F1635" s="2"/>
      <c r="G1635" s="41">
        <f>SUM(G1636)</f>
        <v>3060000</v>
      </c>
      <c r="H1635" s="52"/>
    </row>
    <row r="1636" spans="1:771 1026:1795 2050:2819 3074:3843 4098:4867 5122:5891 6146:6915 7170:7939 8194:8963 9218:9987 10242:11011 11266:12035 12290:13059 13314:14083 14338:15107 15362:16131" s="35" customFormat="1" x14ac:dyDescent="0.3">
      <c r="A1636" s="36"/>
      <c r="B1636" s="46"/>
      <c r="C1636" s="50" t="s">
        <v>24</v>
      </c>
      <c r="D1636" s="39" t="s">
        <v>25</v>
      </c>
      <c r="E1636" s="1">
        <f>1*30*6</f>
        <v>180</v>
      </c>
      <c r="F1636" s="2">
        <v>17000</v>
      </c>
      <c r="G1636" s="40">
        <f>E1636*F1636</f>
        <v>3060000</v>
      </c>
      <c r="H1636" s="42"/>
    </row>
    <row r="1637" spans="1:771 1026:1795 2050:2819 3074:3843 4098:4867 5122:5891 6146:6915 7170:7939 8194:8963 9218:9987 10242:11011 11266:12035 12290:13059 13314:14083 14338:15107 15362:16131" s="35" customFormat="1" ht="65.400000000000006" thickBot="1" x14ac:dyDescent="0.35">
      <c r="A1637" s="53"/>
      <c r="B1637" s="54"/>
      <c r="C1637" s="55" t="s">
        <v>2331</v>
      </c>
      <c r="D1637" s="56"/>
      <c r="E1637" s="5"/>
      <c r="F1637" s="6"/>
      <c r="G1637" s="57"/>
      <c r="H1637" s="58"/>
    </row>
    <row r="1638" spans="1:771 1026:1795 2050:2819 3074:3843 4098:4867 5122:5891 6146:6915 7170:7939 8194:8963 9218:9987 10242:11011 11266:12035 12290:13059 13314:14083 14338:15107 15362:16131" s="59" customFormat="1" ht="31.8" thickBot="1" x14ac:dyDescent="0.35">
      <c r="A1638" s="154"/>
      <c r="B1638" s="155" t="s">
        <v>26</v>
      </c>
      <c r="C1638" s="156"/>
      <c r="D1638" s="154"/>
      <c r="E1638" s="157"/>
      <c r="F1638" s="158"/>
      <c r="G1638" s="159">
        <f>SUM(G1629:G1637)/2</f>
        <v>119529840</v>
      </c>
      <c r="H1638" s="160"/>
      <c r="IX1638" s="35"/>
      <c r="IY1638" s="35"/>
      <c r="ST1638" s="35"/>
      <c r="SU1638" s="35"/>
      <c r="ACP1638" s="35"/>
      <c r="ACQ1638" s="35"/>
      <c r="AML1638" s="35"/>
      <c r="AMM1638" s="35"/>
      <c r="AWH1638" s="35"/>
      <c r="AWI1638" s="35"/>
      <c r="BGD1638" s="35"/>
      <c r="BGE1638" s="35"/>
      <c r="BPZ1638" s="35"/>
      <c r="BQA1638" s="35"/>
      <c r="BZV1638" s="35"/>
      <c r="BZW1638" s="35"/>
      <c r="CJR1638" s="35"/>
      <c r="CJS1638" s="35"/>
      <c r="CTN1638" s="35"/>
      <c r="CTO1638" s="35"/>
      <c r="DDJ1638" s="35"/>
      <c r="DDK1638" s="35"/>
      <c r="DNF1638" s="35"/>
      <c r="DNG1638" s="35"/>
      <c r="DXB1638" s="35"/>
      <c r="DXC1638" s="35"/>
      <c r="EGX1638" s="35"/>
      <c r="EGY1638" s="35"/>
      <c r="EQT1638" s="35"/>
      <c r="EQU1638" s="35"/>
      <c r="FAP1638" s="35"/>
      <c r="FAQ1638" s="35"/>
      <c r="FKL1638" s="35"/>
      <c r="FKM1638" s="35"/>
      <c r="FUH1638" s="35"/>
      <c r="FUI1638" s="35"/>
      <c r="GED1638" s="35"/>
      <c r="GEE1638" s="35"/>
      <c r="GNZ1638" s="35"/>
      <c r="GOA1638" s="35"/>
      <c r="GXV1638" s="35"/>
      <c r="GXW1638" s="35"/>
      <c r="HHR1638" s="35"/>
      <c r="HHS1638" s="35"/>
      <c r="HRN1638" s="35"/>
      <c r="HRO1638" s="35"/>
      <c r="IBJ1638" s="35"/>
      <c r="IBK1638" s="35"/>
      <c r="ILF1638" s="35"/>
      <c r="ILG1638" s="35"/>
      <c r="IVB1638" s="35"/>
      <c r="IVC1638" s="35"/>
      <c r="JEX1638" s="35"/>
      <c r="JEY1638" s="35"/>
      <c r="JOT1638" s="35"/>
      <c r="JOU1638" s="35"/>
      <c r="JYP1638" s="35"/>
      <c r="JYQ1638" s="35"/>
      <c r="KIL1638" s="35"/>
      <c r="KIM1638" s="35"/>
      <c r="KSH1638" s="35"/>
      <c r="KSI1638" s="35"/>
      <c r="LCD1638" s="35"/>
      <c r="LCE1638" s="35"/>
      <c r="LLZ1638" s="35"/>
      <c r="LMA1638" s="35"/>
      <c r="LVV1638" s="35"/>
      <c r="LVW1638" s="35"/>
      <c r="MFR1638" s="35"/>
      <c r="MFS1638" s="35"/>
      <c r="MPN1638" s="35"/>
      <c r="MPO1638" s="35"/>
      <c r="MZJ1638" s="35"/>
      <c r="MZK1638" s="35"/>
      <c r="NJF1638" s="35"/>
      <c r="NJG1638" s="35"/>
      <c r="NTB1638" s="35"/>
      <c r="NTC1638" s="35"/>
      <c r="OCX1638" s="35"/>
      <c r="OCY1638" s="35"/>
      <c r="OMT1638" s="35"/>
      <c r="OMU1638" s="35"/>
      <c r="OWP1638" s="35"/>
      <c r="OWQ1638" s="35"/>
      <c r="PGL1638" s="35"/>
      <c r="PGM1638" s="35"/>
      <c r="PQH1638" s="35"/>
      <c r="PQI1638" s="35"/>
      <c r="QAD1638" s="35"/>
      <c r="QAE1638" s="35"/>
      <c r="QJZ1638" s="35"/>
      <c r="QKA1638" s="35"/>
      <c r="QTV1638" s="35"/>
      <c r="QTW1638" s="35"/>
      <c r="RDR1638" s="35"/>
      <c r="RDS1638" s="35"/>
      <c r="RNN1638" s="35"/>
      <c r="RNO1638" s="35"/>
      <c r="RXJ1638" s="35"/>
      <c r="RXK1638" s="35"/>
      <c r="SHF1638" s="35"/>
      <c r="SHG1638" s="35"/>
      <c r="SRB1638" s="35"/>
      <c r="SRC1638" s="35"/>
      <c r="TAX1638" s="35"/>
      <c r="TAY1638" s="35"/>
      <c r="TKT1638" s="35"/>
      <c r="TKU1638" s="35"/>
      <c r="TUP1638" s="35"/>
      <c r="TUQ1638" s="35"/>
      <c r="UEL1638" s="35"/>
      <c r="UEM1638" s="35"/>
      <c r="UOH1638" s="35"/>
      <c r="UOI1638" s="35"/>
      <c r="UYD1638" s="35"/>
      <c r="UYE1638" s="35"/>
      <c r="VHZ1638" s="35"/>
      <c r="VIA1638" s="35"/>
      <c r="VRV1638" s="35"/>
      <c r="VRW1638" s="35"/>
      <c r="WBR1638" s="35"/>
      <c r="WBS1638" s="35"/>
      <c r="WLN1638" s="35"/>
      <c r="WLO1638" s="35"/>
      <c r="WVJ1638" s="35"/>
      <c r="WVK1638" s="35"/>
    </row>
    <row r="1639" spans="1:771 1026:1795 2050:2819 3074:3843 4098:4867 5122:5891 6146:6915 7170:7939 8194:8963 9218:9987 10242:11011 11266:12035 12290:13059 13314:14083 14338:15107 15362:16131" s="35" customFormat="1" ht="55.2" x14ac:dyDescent="0.3">
      <c r="A1639" s="28">
        <v>155</v>
      </c>
      <c r="B1639" s="29" t="s">
        <v>1285</v>
      </c>
      <c r="C1639" s="30" t="s">
        <v>1286</v>
      </c>
      <c r="D1639" s="31" t="s">
        <v>13</v>
      </c>
      <c r="E1639" s="32">
        <v>9.1</v>
      </c>
      <c r="F1639" s="33"/>
      <c r="G1639" s="33"/>
      <c r="H1639" s="34" t="s">
        <v>1287</v>
      </c>
    </row>
    <row r="1640" spans="1:771 1026:1795 2050:2819 3074:3843 4098:4867 5122:5891 6146:6915 7170:7939 8194:8963 9218:9987 10242:11011 11266:12035 12290:13059 13314:14083 14338:15107 15362:16131" s="35" customFormat="1" x14ac:dyDescent="0.3">
      <c r="A1640" s="36"/>
      <c r="B1640" s="37" t="s">
        <v>1288</v>
      </c>
      <c r="C1640" s="38" t="s">
        <v>14</v>
      </c>
      <c r="D1640" s="39"/>
      <c r="E1640" s="44"/>
      <c r="F1640" s="40"/>
      <c r="G1640" s="41">
        <f>SUM(G1641)</f>
        <v>177258900</v>
      </c>
      <c r="H1640" s="42"/>
    </row>
    <row r="1641" spans="1:771 1026:1795 2050:2819 3074:3843 4098:4867 5122:5891 6146:6915 7170:7939 8194:8963 9218:9987 10242:11011 11266:12035 12290:13059 13314:14083 14338:15107 15362:16131" s="35" customFormat="1" ht="18.600000000000001" x14ac:dyDescent="0.3">
      <c r="A1641" s="36"/>
      <c r="B1641" s="37" t="s">
        <v>1289</v>
      </c>
      <c r="C1641" s="48" t="s">
        <v>38</v>
      </c>
      <c r="D1641" s="39" t="s">
        <v>13</v>
      </c>
      <c r="E1641" s="44">
        <v>9.1</v>
      </c>
      <c r="F1641" s="161">
        <v>19479000</v>
      </c>
      <c r="G1641" s="40">
        <f>E1641*F1641</f>
        <v>177258900</v>
      </c>
      <c r="H1641" s="42"/>
    </row>
    <row r="1642" spans="1:771 1026:1795 2050:2819 3074:3843 4098:4867 5122:5891 6146:6915 7170:7939 8194:8963 9218:9987 10242:11011 11266:12035 12290:13059 13314:14083 14338:15107 15362:16131" s="35" customFormat="1" ht="78" x14ac:dyDescent="0.3">
      <c r="A1642" s="36"/>
      <c r="B1642" s="46" t="s">
        <v>1290</v>
      </c>
      <c r="C1642" s="47" t="s">
        <v>35</v>
      </c>
      <c r="D1642" s="39"/>
      <c r="E1642" s="44"/>
      <c r="F1642" s="40"/>
      <c r="G1642" s="41">
        <f>SUM(G1643)</f>
        <v>0</v>
      </c>
      <c r="H1642" s="45"/>
    </row>
    <row r="1643" spans="1:771 1026:1795 2050:2819 3074:3843 4098:4867 5122:5891 6146:6915 7170:7939 8194:8963 9218:9987 10242:11011 11266:12035 12290:13059 13314:14083 14338:15107 15362:16131" s="35" customFormat="1" ht="55.2" x14ac:dyDescent="0.3">
      <c r="A1643" s="36"/>
      <c r="B1643" s="50" t="s">
        <v>67</v>
      </c>
      <c r="C1643" s="48" t="s">
        <v>1291</v>
      </c>
      <c r="D1643" s="39" t="s">
        <v>13</v>
      </c>
      <c r="E1643" s="44">
        <f>(0.4*4.6*0.5)+(2*4.6)</f>
        <v>10.119999999999999</v>
      </c>
      <c r="F1643" s="40"/>
      <c r="G1643" s="40">
        <f>E1643*F1643</f>
        <v>0</v>
      </c>
      <c r="H1643" s="42" t="s">
        <v>2504</v>
      </c>
    </row>
    <row r="1644" spans="1:771 1026:1795 2050:2819 3074:3843 4098:4867 5122:5891 6146:6915 7170:7939 8194:8963 9218:9987 10242:11011 11266:12035 12290:13059 13314:14083 14338:15107 15362:16131" s="35" customFormat="1" x14ac:dyDescent="0.3">
      <c r="A1644" s="36"/>
      <c r="B1644" s="46"/>
      <c r="C1644" s="51" t="s">
        <v>20</v>
      </c>
      <c r="D1644" s="39"/>
      <c r="E1644" s="44"/>
      <c r="F1644" s="40"/>
      <c r="G1644" s="41">
        <f>SUM(G1645)</f>
        <v>40000</v>
      </c>
      <c r="H1644" s="52"/>
    </row>
    <row r="1645" spans="1:771 1026:1795 2050:2819 3074:3843 4098:4867 5122:5891 6146:6915 7170:7939 8194:8963 9218:9987 10242:11011 11266:12035 12290:13059 13314:14083 14338:15107 15362:16131" s="35" customFormat="1" x14ac:dyDescent="0.3">
      <c r="A1645" s="36"/>
      <c r="B1645" s="46"/>
      <c r="C1645" s="50" t="s">
        <v>1292</v>
      </c>
      <c r="D1645" s="76" t="s">
        <v>22</v>
      </c>
      <c r="E1645" s="44">
        <v>2</v>
      </c>
      <c r="F1645" s="74">
        <v>20000</v>
      </c>
      <c r="G1645" s="40">
        <f>E1645*F1645</f>
        <v>40000</v>
      </c>
      <c r="H1645" s="52"/>
    </row>
    <row r="1646" spans="1:771 1026:1795 2050:2819 3074:3843 4098:4867 5122:5891 6146:6915 7170:7939 8194:8963 9218:9987 10242:11011 11266:12035 12290:13059 13314:14083 14338:15107 15362:16131" s="35" customFormat="1" ht="65.400000000000006" thickBot="1" x14ac:dyDescent="0.35">
      <c r="A1646" s="53"/>
      <c r="B1646" s="54"/>
      <c r="C1646" s="55" t="s">
        <v>2331</v>
      </c>
      <c r="D1646" s="56"/>
      <c r="E1646" s="5"/>
      <c r="F1646" s="6"/>
      <c r="G1646" s="57"/>
      <c r="H1646" s="58"/>
    </row>
    <row r="1647" spans="1:771 1026:1795 2050:2819 3074:3843 4098:4867 5122:5891 6146:6915 7170:7939 8194:8963 9218:9987 10242:11011 11266:12035 12290:13059 13314:14083 14338:15107 15362:16131" s="59" customFormat="1" ht="31.8" thickBot="1" x14ac:dyDescent="0.35">
      <c r="A1647" s="154"/>
      <c r="B1647" s="155" t="s">
        <v>26</v>
      </c>
      <c r="C1647" s="156"/>
      <c r="D1647" s="154"/>
      <c r="E1647" s="157"/>
      <c r="F1647" s="158"/>
      <c r="G1647" s="159">
        <f>SUM(G1639:G1646)/2</f>
        <v>177298900</v>
      </c>
      <c r="H1647" s="160"/>
      <c r="IX1647" s="35"/>
      <c r="IY1647" s="35"/>
      <c r="ST1647" s="35"/>
      <c r="SU1647" s="35"/>
      <c r="ACP1647" s="35"/>
      <c r="ACQ1647" s="35"/>
      <c r="AML1647" s="35"/>
      <c r="AMM1647" s="35"/>
      <c r="AWH1647" s="35"/>
      <c r="AWI1647" s="35"/>
      <c r="BGD1647" s="35"/>
      <c r="BGE1647" s="35"/>
      <c r="BPZ1647" s="35"/>
      <c r="BQA1647" s="35"/>
      <c r="BZV1647" s="35"/>
      <c r="BZW1647" s="35"/>
      <c r="CJR1647" s="35"/>
      <c r="CJS1647" s="35"/>
      <c r="CTN1647" s="35"/>
      <c r="CTO1647" s="35"/>
      <c r="DDJ1647" s="35"/>
      <c r="DDK1647" s="35"/>
      <c r="DNF1647" s="35"/>
      <c r="DNG1647" s="35"/>
      <c r="DXB1647" s="35"/>
      <c r="DXC1647" s="35"/>
      <c r="EGX1647" s="35"/>
      <c r="EGY1647" s="35"/>
      <c r="EQT1647" s="35"/>
      <c r="EQU1647" s="35"/>
      <c r="FAP1647" s="35"/>
      <c r="FAQ1647" s="35"/>
      <c r="FKL1647" s="35"/>
      <c r="FKM1647" s="35"/>
      <c r="FUH1647" s="35"/>
      <c r="FUI1647" s="35"/>
      <c r="GED1647" s="35"/>
      <c r="GEE1647" s="35"/>
      <c r="GNZ1647" s="35"/>
      <c r="GOA1647" s="35"/>
      <c r="GXV1647" s="35"/>
      <c r="GXW1647" s="35"/>
      <c r="HHR1647" s="35"/>
      <c r="HHS1647" s="35"/>
      <c r="HRN1647" s="35"/>
      <c r="HRO1647" s="35"/>
      <c r="IBJ1647" s="35"/>
      <c r="IBK1647" s="35"/>
      <c r="ILF1647" s="35"/>
      <c r="ILG1647" s="35"/>
      <c r="IVB1647" s="35"/>
      <c r="IVC1647" s="35"/>
      <c r="JEX1647" s="35"/>
      <c r="JEY1647" s="35"/>
      <c r="JOT1647" s="35"/>
      <c r="JOU1647" s="35"/>
      <c r="JYP1647" s="35"/>
      <c r="JYQ1647" s="35"/>
      <c r="KIL1647" s="35"/>
      <c r="KIM1647" s="35"/>
      <c r="KSH1647" s="35"/>
      <c r="KSI1647" s="35"/>
      <c r="LCD1647" s="35"/>
      <c r="LCE1647" s="35"/>
      <c r="LLZ1647" s="35"/>
      <c r="LMA1647" s="35"/>
      <c r="LVV1647" s="35"/>
      <c r="LVW1647" s="35"/>
      <c r="MFR1647" s="35"/>
      <c r="MFS1647" s="35"/>
      <c r="MPN1647" s="35"/>
      <c r="MPO1647" s="35"/>
      <c r="MZJ1647" s="35"/>
      <c r="MZK1647" s="35"/>
      <c r="NJF1647" s="35"/>
      <c r="NJG1647" s="35"/>
      <c r="NTB1647" s="35"/>
      <c r="NTC1647" s="35"/>
      <c r="OCX1647" s="35"/>
      <c r="OCY1647" s="35"/>
      <c r="OMT1647" s="35"/>
      <c r="OMU1647" s="35"/>
      <c r="OWP1647" s="35"/>
      <c r="OWQ1647" s="35"/>
      <c r="PGL1647" s="35"/>
      <c r="PGM1647" s="35"/>
      <c r="PQH1647" s="35"/>
      <c r="PQI1647" s="35"/>
      <c r="QAD1647" s="35"/>
      <c r="QAE1647" s="35"/>
      <c r="QJZ1647" s="35"/>
      <c r="QKA1647" s="35"/>
      <c r="QTV1647" s="35"/>
      <c r="QTW1647" s="35"/>
      <c r="RDR1647" s="35"/>
      <c r="RDS1647" s="35"/>
      <c r="RNN1647" s="35"/>
      <c r="RNO1647" s="35"/>
      <c r="RXJ1647" s="35"/>
      <c r="RXK1647" s="35"/>
      <c r="SHF1647" s="35"/>
      <c r="SHG1647" s="35"/>
      <c r="SRB1647" s="35"/>
      <c r="SRC1647" s="35"/>
      <c r="TAX1647" s="35"/>
      <c r="TAY1647" s="35"/>
      <c r="TKT1647" s="35"/>
      <c r="TKU1647" s="35"/>
      <c r="TUP1647" s="35"/>
      <c r="TUQ1647" s="35"/>
      <c r="UEL1647" s="35"/>
      <c r="UEM1647" s="35"/>
      <c r="UOH1647" s="35"/>
      <c r="UOI1647" s="35"/>
      <c r="UYD1647" s="35"/>
      <c r="UYE1647" s="35"/>
      <c r="VHZ1647" s="35"/>
      <c r="VIA1647" s="35"/>
      <c r="VRV1647" s="35"/>
      <c r="VRW1647" s="35"/>
      <c r="WBR1647" s="35"/>
      <c r="WBS1647" s="35"/>
      <c r="WLN1647" s="35"/>
      <c r="WLO1647" s="35"/>
      <c r="WVJ1647" s="35"/>
      <c r="WVK1647" s="35"/>
    </row>
    <row r="1648" spans="1:771 1026:1795 2050:2819 3074:3843 4098:4867 5122:5891 6146:6915 7170:7939 8194:8963 9218:9987 10242:11011 11266:12035 12290:13059 13314:14083 14338:15107 15362:16131" s="35" customFormat="1" ht="55.2" x14ac:dyDescent="0.3">
      <c r="A1648" s="28">
        <v>156</v>
      </c>
      <c r="B1648" s="29" t="s">
        <v>1293</v>
      </c>
      <c r="C1648" s="30" t="s">
        <v>2210</v>
      </c>
      <c r="D1648" s="31" t="s">
        <v>13</v>
      </c>
      <c r="E1648" s="32">
        <v>8</v>
      </c>
      <c r="F1648" s="33"/>
      <c r="G1648" s="33"/>
      <c r="H1648" s="34" t="s">
        <v>1294</v>
      </c>
    </row>
    <row r="1649" spans="1:771 1026:1795 2050:2819 3074:3843 4098:4867 5122:5891 6146:6915 7170:7939 8194:8963 9218:9987 10242:11011 11266:12035 12290:13059 13314:14083 14338:15107 15362:16131" s="35" customFormat="1" ht="27.6" x14ac:dyDescent="0.3">
      <c r="A1649" s="36"/>
      <c r="B1649" s="37" t="s">
        <v>1295</v>
      </c>
      <c r="C1649" s="38" t="s">
        <v>14</v>
      </c>
      <c r="D1649" s="39"/>
      <c r="E1649" s="44"/>
      <c r="F1649" s="40"/>
      <c r="G1649" s="41">
        <f>SUM(G1650)</f>
        <v>155832000</v>
      </c>
      <c r="H1649" s="42" t="s">
        <v>1296</v>
      </c>
    </row>
    <row r="1650" spans="1:771 1026:1795 2050:2819 3074:3843 4098:4867 5122:5891 6146:6915 7170:7939 8194:8963 9218:9987 10242:11011 11266:12035 12290:13059 13314:14083 14338:15107 15362:16131" s="35" customFormat="1" ht="18.600000000000001" x14ac:dyDescent="0.3">
      <c r="A1650" s="36"/>
      <c r="B1650" s="37" t="s">
        <v>1297</v>
      </c>
      <c r="C1650" s="48" t="s">
        <v>38</v>
      </c>
      <c r="D1650" s="39" t="s">
        <v>13</v>
      </c>
      <c r="E1650" s="44">
        <v>8</v>
      </c>
      <c r="F1650" s="161">
        <v>19479000</v>
      </c>
      <c r="G1650" s="40">
        <f>E1650*F1650</f>
        <v>155832000</v>
      </c>
      <c r="H1650" s="42"/>
    </row>
    <row r="1651" spans="1:771 1026:1795 2050:2819 3074:3843 4098:4867 5122:5891 6146:6915 7170:7939 8194:8963 9218:9987 10242:11011 11266:12035 12290:13059 13314:14083 14338:15107 15362:16131" s="35" customFormat="1" x14ac:dyDescent="0.3">
      <c r="A1651" s="36"/>
      <c r="B1651" s="64" t="s">
        <v>1298</v>
      </c>
      <c r="C1651" s="47" t="s">
        <v>35</v>
      </c>
      <c r="D1651" s="39"/>
      <c r="E1651" s="44"/>
      <c r="F1651" s="40"/>
      <c r="G1651" s="41">
        <f>SUM(G1652:G1654)</f>
        <v>10312680</v>
      </c>
      <c r="H1651" s="45"/>
    </row>
    <row r="1652" spans="1:771 1026:1795 2050:2819 3074:3843 4098:4867 5122:5891 6146:6915 7170:7939 8194:8963 9218:9987 10242:11011 11266:12035 12290:13059 13314:14083 14338:15107 15362:16131" s="35" customFormat="1" ht="46.8" x14ac:dyDescent="0.3">
      <c r="A1652" s="36"/>
      <c r="B1652" s="37" t="s">
        <v>2314</v>
      </c>
      <c r="C1652" s="48" t="s">
        <v>1299</v>
      </c>
      <c r="D1652" s="39" t="s">
        <v>13</v>
      </c>
      <c r="E1652" s="44">
        <f>(2.06*4*0.5)+(2*4)</f>
        <v>12.120000000000001</v>
      </c>
      <c r="F1652" s="40">
        <v>789000</v>
      </c>
      <c r="G1652" s="40">
        <f>E1652*F1652</f>
        <v>9562680</v>
      </c>
      <c r="H1652" s="42" t="s">
        <v>2505</v>
      </c>
    </row>
    <row r="1653" spans="1:771 1026:1795 2050:2819 3074:3843 4098:4867 5122:5891 6146:6915 7170:7939 8194:8963 9218:9987 10242:11011 11266:12035 12290:13059 13314:14083 14338:15107 15362:16131" s="35" customFormat="1" ht="78" x14ac:dyDescent="0.3">
      <c r="A1653" s="36"/>
      <c r="B1653" s="46" t="s">
        <v>1301</v>
      </c>
      <c r="C1653" s="48" t="s">
        <v>1300</v>
      </c>
      <c r="D1653" s="39" t="s">
        <v>13</v>
      </c>
      <c r="E1653" s="44">
        <f>3*2.5</f>
        <v>7.5</v>
      </c>
      <c r="F1653" s="40">
        <v>100000</v>
      </c>
      <c r="G1653" s="40">
        <f>E1653*F1653</f>
        <v>750000</v>
      </c>
      <c r="H1653" s="52"/>
    </row>
    <row r="1654" spans="1:771 1026:1795 2050:2819 3074:3843 4098:4867 5122:5891 6146:6915 7170:7939 8194:8963 9218:9987 10242:11011 11266:12035 12290:13059 13314:14083 14338:15107 15362:16131" s="35" customFormat="1" ht="65.400000000000006" thickBot="1" x14ac:dyDescent="0.35">
      <c r="A1654" s="53"/>
      <c r="B1654" s="54"/>
      <c r="C1654" s="55" t="s">
        <v>2331</v>
      </c>
      <c r="D1654" s="56"/>
      <c r="E1654" s="5"/>
      <c r="F1654" s="6"/>
      <c r="G1654" s="57"/>
      <c r="H1654" s="58"/>
    </row>
    <row r="1655" spans="1:771 1026:1795 2050:2819 3074:3843 4098:4867 5122:5891 6146:6915 7170:7939 8194:8963 9218:9987 10242:11011 11266:12035 12290:13059 13314:14083 14338:15107 15362:16131" s="59" customFormat="1" ht="31.8" thickBot="1" x14ac:dyDescent="0.35">
      <c r="A1655" s="154"/>
      <c r="B1655" s="155" t="s">
        <v>26</v>
      </c>
      <c r="C1655" s="156"/>
      <c r="D1655" s="154"/>
      <c r="E1655" s="157"/>
      <c r="F1655" s="158"/>
      <c r="G1655" s="159">
        <f>SUM(G1648:G1654)/2</f>
        <v>166144680</v>
      </c>
      <c r="H1655" s="160"/>
      <c r="IX1655" s="35"/>
      <c r="IY1655" s="35"/>
      <c r="ST1655" s="35"/>
      <c r="SU1655" s="35"/>
      <c r="ACP1655" s="35"/>
      <c r="ACQ1655" s="35"/>
      <c r="AML1655" s="35"/>
      <c r="AMM1655" s="35"/>
      <c r="AWH1655" s="35"/>
      <c r="AWI1655" s="35"/>
      <c r="BGD1655" s="35"/>
      <c r="BGE1655" s="35"/>
      <c r="BPZ1655" s="35"/>
      <c r="BQA1655" s="35"/>
      <c r="BZV1655" s="35"/>
      <c r="BZW1655" s="35"/>
      <c r="CJR1655" s="35"/>
      <c r="CJS1655" s="35"/>
      <c r="CTN1655" s="35"/>
      <c r="CTO1655" s="35"/>
      <c r="DDJ1655" s="35"/>
      <c r="DDK1655" s="35"/>
      <c r="DNF1655" s="35"/>
      <c r="DNG1655" s="35"/>
      <c r="DXB1655" s="35"/>
      <c r="DXC1655" s="35"/>
      <c r="EGX1655" s="35"/>
      <c r="EGY1655" s="35"/>
      <c r="EQT1655" s="35"/>
      <c r="EQU1655" s="35"/>
      <c r="FAP1655" s="35"/>
      <c r="FAQ1655" s="35"/>
      <c r="FKL1655" s="35"/>
      <c r="FKM1655" s="35"/>
      <c r="FUH1655" s="35"/>
      <c r="FUI1655" s="35"/>
      <c r="GED1655" s="35"/>
      <c r="GEE1655" s="35"/>
      <c r="GNZ1655" s="35"/>
      <c r="GOA1655" s="35"/>
      <c r="GXV1655" s="35"/>
      <c r="GXW1655" s="35"/>
      <c r="HHR1655" s="35"/>
      <c r="HHS1655" s="35"/>
      <c r="HRN1655" s="35"/>
      <c r="HRO1655" s="35"/>
      <c r="IBJ1655" s="35"/>
      <c r="IBK1655" s="35"/>
      <c r="ILF1655" s="35"/>
      <c r="ILG1655" s="35"/>
      <c r="IVB1655" s="35"/>
      <c r="IVC1655" s="35"/>
      <c r="JEX1655" s="35"/>
      <c r="JEY1655" s="35"/>
      <c r="JOT1655" s="35"/>
      <c r="JOU1655" s="35"/>
      <c r="JYP1655" s="35"/>
      <c r="JYQ1655" s="35"/>
      <c r="KIL1655" s="35"/>
      <c r="KIM1655" s="35"/>
      <c r="KSH1655" s="35"/>
      <c r="KSI1655" s="35"/>
      <c r="LCD1655" s="35"/>
      <c r="LCE1655" s="35"/>
      <c r="LLZ1655" s="35"/>
      <c r="LMA1655" s="35"/>
      <c r="LVV1655" s="35"/>
      <c r="LVW1655" s="35"/>
      <c r="MFR1655" s="35"/>
      <c r="MFS1655" s="35"/>
      <c r="MPN1655" s="35"/>
      <c r="MPO1655" s="35"/>
      <c r="MZJ1655" s="35"/>
      <c r="MZK1655" s="35"/>
      <c r="NJF1655" s="35"/>
      <c r="NJG1655" s="35"/>
      <c r="NTB1655" s="35"/>
      <c r="NTC1655" s="35"/>
      <c r="OCX1655" s="35"/>
      <c r="OCY1655" s="35"/>
      <c r="OMT1655" s="35"/>
      <c r="OMU1655" s="35"/>
      <c r="OWP1655" s="35"/>
      <c r="OWQ1655" s="35"/>
      <c r="PGL1655" s="35"/>
      <c r="PGM1655" s="35"/>
      <c r="PQH1655" s="35"/>
      <c r="PQI1655" s="35"/>
      <c r="QAD1655" s="35"/>
      <c r="QAE1655" s="35"/>
      <c r="QJZ1655" s="35"/>
      <c r="QKA1655" s="35"/>
      <c r="QTV1655" s="35"/>
      <c r="QTW1655" s="35"/>
      <c r="RDR1655" s="35"/>
      <c r="RDS1655" s="35"/>
      <c r="RNN1655" s="35"/>
      <c r="RNO1655" s="35"/>
      <c r="RXJ1655" s="35"/>
      <c r="RXK1655" s="35"/>
      <c r="SHF1655" s="35"/>
      <c r="SHG1655" s="35"/>
      <c r="SRB1655" s="35"/>
      <c r="SRC1655" s="35"/>
      <c r="TAX1655" s="35"/>
      <c r="TAY1655" s="35"/>
      <c r="TKT1655" s="35"/>
      <c r="TKU1655" s="35"/>
      <c r="TUP1655" s="35"/>
      <c r="TUQ1655" s="35"/>
      <c r="UEL1655" s="35"/>
      <c r="UEM1655" s="35"/>
      <c r="UOH1655" s="35"/>
      <c r="UOI1655" s="35"/>
      <c r="UYD1655" s="35"/>
      <c r="UYE1655" s="35"/>
      <c r="VHZ1655" s="35"/>
      <c r="VIA1655" s="35"/>
      <c r="VRV1655" s="35"/>
      <c r="VRW1655" s="35"/>
      <c r="WBR1655" s="35"/>
      <c r="WBS1655" s="35"/>
      <c r="WLN1655" s="35"/>
      <c r="WLO1655" s="35"/>
      <c r="WVJ1655" s="35"/>
      <c r="WVK1655" s="35"/>
    </row>
    <row r="1656" spans="1:771 1026:1795 2050:2819 3074:3843 4098:4867 5122:5891 6146:6915 7170:7939 8194:8963 9218:9987 10242:11011 11266:12035 12290:13059 13314:14083 14338:15107 15362:16131" s="35" customFormat="1" x14ac:dyDescent="0.3">
      <c r="A1656" s="28">
        <v>157</v>
      </c>
      <c r="B1656" s="29" t="s">
        <v>1302</v>
      </c>
      <c r="C1656" s="61" t="s">
        <v>14</v>
      </c>
      <c r="D1656" s="31"/>
      <c r="E1656" s="32"/>
      <c r="F1656" s="33"/>
      <c r="G1656" s="62">
        <f>SUM(G1657:G1660)</f>
        <v>662286000</v>
      </c>
      <c r="H1656" s="34"/>
    </row>
    <row r="1657" spans="1:771 1026:1795 2050:2819 3074:3843 4098:4867 5122:5891 6146:6915 7170:7939 8194:8963 9218:9987 10242:11011 11266:12035 12290:13059 13314:14083 14338:15107 15362:16131" s="35" customFormat="1" ht="55.2" x14ac:dyDescent="0.3">
      <c r="A1657" s="36"/>
      <c r="B1657" s="37" t="s">
        <v>1303</v>
      </c>
      <c r="C1657" s="48" t="s">
        <v>2208</v>
      </c>
      <c r="D1657" s="39" t="s">
        <v>13</v>
      </c>
      <c r="E1657" s="44">
        <v>14</v>
      </c>
      <c r="F1657" s="40"/>
      <c r="G1657" s="40"/>
      <c r="H1657" s="42" t="s">
        <v>1304</v>
      </c>
    </row>
    <row r="1658" spans="1:771 1026:1795 2050:2819 3074:3843 4098:4867 5122:5891 6146:6915 7170:7939 8194:8963 9218:9987 10242:11011 11266:12035 12290:13059 13314:14083 14338:15107 15362:16131" s="35" customFormat="1" ht="27.6" x14ac:dyDescent="0.3">
      <c r="A1658" s="36"/>
      <c r="B1658" s="37" t="s">
        <v>1305</v>
      </c>
      <c r="C1658" s="48" t="s">
        <v>38</v>
      </c>
      <c r="D1658" s="39" t="s">
        <v>13</v>
      </c>
      <c r="E1658" s="44">
        <v>14</v>
      </c>
      <c r="F1658" s="161">
        <v>19479000</v>
      </c>
      <c r="G1658" s="40">
        <f>E1658*F1658</f>
        <v>272706000</v>
      </c>
      <c r="H1658" s="42" t="s">
        <v>1306</v>
      </c>
    </row>
    <row r="1659" spans="1:771 1026:1795 2050:2819 3074:3843 4098:4867 5122:5891 6146:6915 7170:7939 8194:8963 9218:9987 10242:11011 11266:12035 12290:13059 13314:14083 14338:15107 15362:16131" s="35" customFormat="1" ht="55.2" x14ac:dyDescent="0.3">
      <c r="A1659" s="36"/>
      <c r="B1659" s="64" t="s">
        <v>1307</v>
      </c>
      <c r="C1659" s="48" t="s">
        <v>2209</v>
      </c>
      <c r="D1659" s="39" t="s">
        <v>13</v>
      </c>
      <c r="E1659" s="44">
        <v>20</v>
      </c>
      <c r="F1659" s="40"/>
      <c r="G1659" s="40"/>
      <c r="H1659" s="42" t="s">
        <v>1308</v>
      </c>
    </row>
    <row r="1660" spans="1:771 1026:1795 2050:2819 3074:3843 4098:4867 5122:5891 6146:6915 7170:7939 8194:8963 9218:9987 10242:11011 11266:12035 12290:13059 13314:14083 14338:15107 15362:16131" s="35" customFormat="1" ht="18.600000000000001" x14ac:dyDescent="0.3">
      <c r="A1660" s="36"/>
      <c r="B1660" s="37" t="s">
        <v>1303</v>
      </c>
      <c r="C1660" s="48" t="s">
        <v>38</v>
      </c>
      <c r="D1660" s="39" t="s">
        <v>13</v>
      </c>
      <c r="E1660" s="44">
        <v>20</v>
      </c>
      <c r="F1660" s="161">
        <v>19479000</v>
      </c>
      <c r="G1660" s="40">
        <f>E1660*F1660</f>
        <v>389580000</v>
      </c>
      <c r="H1660" s="42"/>
    </row>
    <row r="1661" spans="1:771 1026:1795 2050:2819 3074:3843 4098:4867 5122:5891 6146:6915 7170:7939 8194:8963 9218:9987 10242:11011 11266:12035 12290:13059 13314:14083 14338:15107 15362:16131" s="35" customFormat="1" x14ac:dyDescent="0.3">
      <c r="A1661" s="36"/>
      <c r="B1661" s="37" t="s">
        <v>1309</v>
      </c>
      <c r="C1661" s="47" t="s">
        <v>35</v>
      </c>
      <c r="D1661" s="39"/>
      <c r="E1661" s="44"/>
      <c r="F1661" s="40"/>
      <c r="G1661" s="41">
        <f>SUM(G1662:G1669)</f>
        <v>58126389</v>
      </c>
      <c r="H1661" s="45"/>
    </row>
    <row r="1662" spans="1:771 1026:1795 2050:2819 3074:3843 4098:4867 5122:5891 6146:6915 7170:7939 8194:8963 9218:9987 10242:11011 11266:12035 12290:13059 13314:14083 14338:15107 15362:16131" s="35" customFormat="1" ht="78" x14ac:dyDescent="0.3">
      <c r="A1662" s="36"/>
      <c r="B1662" s="46" t="s">
        <v>1301</v>
      </c>
      <c r="C1662" s="48" t="s">
        <v>1310</v>
      </c>
      <c r="D1662" s="39" t="s">
        <v>13</v>
      </c>
      <c r="E1662" s="44">
        <f>3.25*4.2</f>
        <v>13.65</v>
      </c>
      <c r="F1662" s="40">
        <v>258000</v>
      </c>
      <c r="G1662" s="40">
        <f t="shared" ref="G1662:G1669" si="23">E1662*F1662</f>
        <v>3521700</v>
      </c>
      <c r="H1662" s="52"/>
    </row>
    <row r="1663" spans="1:771 1026:1795 2050:2819 3074:3843 4098:4867 5122:5891 6146:6915 7170:7939 8194:8963 9218:9987 10242:11011 11266:12035 12290:13059 13314:14083 14338:15107 15362:16131" s="35" customFormat="1" ht="31.2" x14ac:dyDescent="0.3">
      <c r="A1663" s="36"/>
      <c r="B1663" s="50" t="s">
        <v>1311</v>
      </c>
      <c r="C1663" s="48" t="s">
        <v>1312</v>
      </c>
      <c r="D1663" s="39" t="s">
        <v>13</v>
      </c>
      <c r="E1663" s="44">
        <f>(3.25*1.95*2)+(12.8*1.95)</f>
        <v>37.634999999999998</v>
      </c>
      <c r="F1663" s="40">
        <v>1032000</v>
      </c>
      <c r="G1663" s="40">
        <f t="shared" si="23"/>
        <v>38839320</v>
      </c>
      <c r="H1663" s="52"/>
    </row>
    <row r="1664" spans="1:771 1026:1795 2050:2819 3074:3843 4098:4867 5122:5891 6146:6915 7170:7939 8194:8963 9218:9987 10242:11011 11266:12035 12290:13059 13314:14083 14338:15107 15362:16131" s="35" customFormat="1" ht="18.600000000000001" x14ac:dyDescent="0.3">
      <c r="A1664" s="36"/>
      <c r="B1664" s="46"/>
      <c r="C1664" s="48" t="s">
        <v>16</v>
      </c>
      <c r="D1664" s="39" t="s">
        <v>13</v>
      </c>
      <c r="E1664" s="44">
        <f>3*2.8</f>
        <v>8.3999999999999986</v>
      </c>
      <c r="F1664" s="40">
        <v>100000</v>
      </c>
      <c r="G1664" s="40">
        <f t="shared" si="23"/>
        <v>839999.99999999988</v>
      </c>
      <c r="H1664" s="52"/>
    </row>
    <row r="1665" spans="1:8" s="35" customFormat="1" ht="18.600000000000001" x14ac:dyDescent="0.3">
      <c r="A1665" s="36"/>
      <c r="B1665" s="46"/>
      <c r="C1665" s="48" t="s">
        <v>1313</v>
      </c>
      <c r="D1665" s="39" t="s">
        <v>128</v>
      </c>
      <c r="E1665" s="44">
        <f>0.9*0.5*2.5*2</f>
        <v>2.25</v>
      </c>
      <c r="F1665" s="40">
        <v>6337000</v>
      </c>
      <c r="G1665" s="40">
        <f t="shared" si="23"/>
        <v>14258250</v>
      </c>
      <c r="H1665" s="52"/>
    </row>
    <row r="1666" spans="1:8" s="35" customFormat="1" ht="18.600000000000001" x14ac:dyDescent="0.3">
      <c r="A1666" s="36"/>
      <c r="B1666" s="46"/>
      <c r="C1666" s="48" t="s">
        <v>188</v>
      </c>
      <c r="D1666" s="39" t="s">
        <v>13</v>
      </c>
      <c r="E1666" s="44">
        <f>0.9*0.5*8</f>
        <v>3.6</v>
      </c>
      <c r="F1666" s="40">
        <v>107000</v>
      </c>
      <c r="G1666" s="40">
        <f t="shared" si="23"/>
        <v>385200</v>
      </c>
      <c r="H1666" s="52"/>
    </row>
    <row r="1667" spans="1:8" s="35" customFormat="1" x14ac:dyDescent="0.3">
      <c r="A1667" s="36"/>
      <c r="B1667" s="46"/>
      <c r="C1667" s="48" t="s">
        <v>105</v>
      </c>
      <c r="D1667" s="39" t="s">
        <v>106</v>
      </c>
      <c r="E1667" s="44">
        <v>1</v>
      </c>
      <c r="F1667" s="40"/>
      <c r="G1667" s="40">
        <f t="shared" si="23"/>
        <v>0</v>
      </c>
      <c r="H1667" s="52" t="s">
        <v>2353</v>
      </c>
    </row>
    <row r="1668" spans="1:8" s="35" customFormat="1" ht="18.600000000000001" x14ac:dyDescent="0.3">
      <c r="A1668" s="36"/>
      <c r="B1668" s="46"/>
      <c r="C1668" s="48" t="s">
        <v>189</v>
      </c>
      <c r="D1668" s="39" t="s">
        <v>128</v>
      </c>
      <c r="E1668" s="44">
        <f>3.3*0.2*0.15</f>
        <v>9.9000000000000005E-2</v>
      </c>
      <c r="F1668" s="40">
        <v>1421000</v>
      </c>
      <c r="G1668" s="40">
        <f t="shared" si="23"/>
        <v>140679</v>
      </c>
      <c r="H1668" s="52"/>
    </row>
    <row r="1669" spans="1:8" s="35" customFormat="1" ht="18.600000000000001" x14ac:dyDescent="0.3">
      <c r="A1669" s="36"/>
      <c r="B1669" s="46"/>
      <c r="C1669" s="48" t="s">
        <v>190</v>
      </c>
      <c r="D1669" s="39" t="s">
        <v>13</v>
      </c>
      <c r="E1669" s="44">
        <f>3.3*0.2*2</f>
        <v>1.32</v>
      </c>
      <c r="F1669" s="40">
        <v>107000</v>
      </c>
      <c r="G1669" s="40">
        <f t="shared" si="23"/>
        <v>141240</v>
      </c>
      <c r="H1669" s="52"/>
    </row>
    <row r="1670" spans="1:8" s="35" customFormat="1" x14ac:dyDescent="0.3">
      <c r="A1670" s="36"/>
      <c r="B1670" s="46"/>
      <c r="C1670" s="51" t="s">
        <v>20</v>
      </c>
      <c r="D1670" s="39"/>
      <c r="E1670" s="44"/>
      <c r="F1670" s="40"/>
      <c r="G1670" s="41">
        <f>SUM(G1671:G1681)</f>
        <v>3198000</v>
      </c>
      <c r="H1670" s="52"/>
    </row>
    <row r="1671" spans="1:8" s="35" customFormat="1" ht="18.600000000000001" x14ac:dyDescent="0.3">
      <c r="A1671" s="36"/>
      <c r="B1671" s="46"/>
      <c r="C1671" s="50" t="s">
        <v>1314</v>
      </c>
      <c r="D1671" s="39" t="s">
        <v>13</v>
      </c>
      <c r="E1671" s="44">
        <v>15</v>
      </c>
      <c r="F1671" s="40">
        <v>120000</v>
      </c>
      <c r="G1671" s="40">
        <f t="shared" ref="G1671:G1681" si="24">E1671*F1671</f>
        <v>1800000</v>
      </c>
      <c r="H1671" s="52"/>
    </row>
    <row r="1672" spans="1:8" s="35" customFormat="1" x14ac:dyDescent="0.3">
      <c r="A1672" s="36"/>
      <c r="B1672" s="46"/>
      <c r="C1672" s="50" t="s">
        <v>1315</v>
      </c>
      <c r="D1672" s="39" t="s">
        <v>21</v>
      </c>
      <c r="E1672" s="44">
        <v>1</v>
      </c>
      <c r="F1672" s="40">
        <v>60000</v>
      </c>
      <c r="G1672" s="40">
        <f t="shared" si="24"/>
        <v>60000</v>
      </c>
      <c r="H1672" s="52"/>
    </row>
    <row r="1673" spans="1:8" s="35" customFormat="1" x14ac:dyDescent="0.3">
      <c r="A1673" s="36"/>
      <c r="B1673" s="46"/>
      <c r="C1673" s="50" t="s">
        <v>1316</v>
      </c>
      <c r="D1673" s="39" t="s">
        <v>21</v>
      </c>
      <c r="E1673" s="44">
        <v>2</v>
      </c>
      <c r="F1673" s="40">
        <v>20000</v>
      </c>
      <c r="G1673" s="40">
        <f t="shared" si="24"/>
        <v>40000</v>
      </c>
      <c r="H1673" s="52"/>
    </row>
    <row r="1674" spans="1:8" s="35" customFormat="1" ht="18.600000000000001" x14ac:dyDescent="0.3">
      <c r="A1674" s="36"/>
      <c r="B1674" s="46"/>
      <c r="C1674" s="50" t="s">
        <v>2345</v>
      </c>
      <c r="D1674" s="39" t="s">
        <v>13</v>
      </c>
      <c r="E1674" s="44">
        <v>3</v>
      </c>
      <c r="F1674" s="40">
        <v>40000</v>
      </c>
      <c r="G1674" s="40">
        <f t="shared" si="24"/>
        <v>120000</v>
      </c>
      <c r="H1674" s="52"/>
    </row>
    <row r="1675" spans="1:8" s="35" customFormat="1" x14ac:dyDescent="0.3">
      <c r="A1675" s="36"/>
      <c r="B1675" s="46"/>
      <c r="C1675" s="50" t="s">
        <v>1317</v>
      </c>
      <c r="D1675" s="39" t="s">
        <v>21</v>
      </c>
      <c r="E1675" s="44">
        <v>2</v>
      </c>
      <c r="F1675" s="40">
        <v>20000</v>
      </c>
      <c r="G1675" s="40">
        <f t="shared" si="24"/>
        <v>40000</v>
      </c>
      <c r="H1675" s="52"/>
    </row>
    <row r="1676" spans="1:8" s="35" customFormat="1" x14ac:dyDescent="0.3">
      <c r="A1676" s="36"/>
      <c r="B1676" s="46"/>
      <c r="C1676" s="50" t="s">
        <v>1318</v>
      </c>
      <c r="D1676" s="39" t="s">
        <v>21</v>
      </c>
      <c r="E1676" s="44">
        <v>1</v>
      </c>
      <c r="F1676" s="40">
        <v>80000</v>
      </c>
      <c r="G1676" s="40">
        <f t="shared" si="24"/>
        <v>80000</v>
      </c>
      <c r="H1676" s="52"/>
    </row>
    <row r="1677" spans="1:8" s="35" customFormat="1" x14ac:dyDescent="0.3">
      <c r="A1677" s="36"/>
      <c r="B1677" s="46"/>
      <c r="C1677" s="50" t="s">
        <v>1319</v>
      </c>
      <c r="D1677" s="39" t="s">
        <v>21</v>
      </c>
      <c r="E1677" s="44">
        <v>5</v>
      </c>
      <c r="F1677" s="40">
        <v>2000</v>
      </c>
      <c r="G1677" s="40">
        <f t="shared" si="24"/>
        <v>10000</v>
      </c>
      <c r="H1677" s="52"/>
    </row>
    <row r="1678" spans="1:8" s="35" customFormat="1" x14ac:dyDescent="0.3">
      <c r="A1678" s="36"/>
      <c r="B1678" s="46"/>
      <c r="C1678" s="50" t="s">
        <v>1320</v>
      </c>
      <c r="D1678" s="39" t="s">
        <v>21</v>
      </c>
      <c r="E1678" s="44">
        <v>2</v>
      </c>
      <c r="F1678" s="40">
        <v>34000</v>
      </c>
      <c r="G1678" s="40">
        <f t="shared" si="24"/>
        <v>68000</v>
      </c>
      <c r="H1678" s="52"/>
    </row>
    <row r="1679" spans="1:8" s="35" customFormat="1" x14ac:dyDescent="0.3">
      <c r="A1679" s="36"/>
      <c r="B1679" s="46"/>
      <c r="C1679" s="50" t="s">
        <v>1321</v>
      </c>
      <c r="D1679" s="39" t="s">
        <v>21</v>
      </c>
      <c r="E1679" s="44">
        <v>1</v>
      </c>
      <c r="F1679" s="40">
        <v>160000</v>
      </c>
      <c r="G1679" s="40">
        <f t="shared" si="24"/>
        <v>160000</v>
      </c>
      <c r="H1679" s="52"/>
    </row>
    <row r="1680" spans="1:8" s="35" customFormat="1" x14ac:dyDescent="0.3">
      <c r="A1680" s="36"/>
      <c r="B1680" s="46"/>
      <c r="C1680" s="50" t="s">
        <v>2346</v>
      </c>
      <c r="D1680" s="39" t="s">
        <v>21</v>
      </c>
      <c r="E1680" s="44">
        <v>4</v>
      </c>
      <c r="F1680" s="40">
        <v>200000</v>
      </c>
      <c r="G1680" s="40">
        <f t="shared" si="24"/>
        <v>800000</v>
      </c>
      <c r="H1680" s="52"/>
    </row>
    <row r="1681" spans="1:771 1026:1795 2050:2819 3074:3843 4098:4867 5122:5891 6146:6915 7170:7939 8194:8963 9218:9987 10242:11011 11266:12035 12290:13059 13314:14083 14338:15107 15362:16131" s="35" customFormat="1" x14ac:dyDescent="0.3">
      <c r="A1681" s="36"/>
      <c r="B1681" s="46"/>
      <c r="C1681" s="50" t="s">
        <v>1322</v>
      </c>
      <c r="D1681" s="39" t="s">
        <v>21</v>
      </c>
      <c r="E1681" s="44">
        <v>1</v>
      </c>
      <c r="F1681" s="40">
        <v>20000</v>
      </c>
      <c r="G1681" s="40">
        <f t="shared" si="24"/>
        <v>20000</v>
      </c>
      <c r="H1681" s="52"/>
    </row>
    <row r="1682" spans="1:771 1026:1795 2050:2819 3074:3843 4098:4867 5122:5891 6146:6915 7170:7939 8194:8963 9218:9987 10242:11011 11266:12035 12290:13059 13314:14083 14338:15107 15362:16131" s="35" customFormat="1" ht="65.400000000000006" thickBot="1" x14ac:dyDescent="0.35">
      <c r="A1682" s="53"/>
      <c r="B1682" s="54"/>
      <c r="C1682" s="55" t="s">
        <v>2331</v>
      </c>
      <c r="D1682" s="56"/>
      <c r="E1682" s="5"/>
      <c r="F1682" s="6"/>
      <c r="G1682" s="57"/>
      <c r="H1682" s="58"/>
    </row>
    <row r="1683" spans="1:771 1026:1795 2050:2819 3074:3843 4098:4867 5122:5891 6146:6915 7170:7939 8194:8963 9218:9987 10242:11011 11266:12035 12290:13059 13314:14083 14338:15107 15362:16131" s="59" customFormat="1" ht="31.8" thickBot="1" x14ac:dyDescent="0.35">
      <c r="A1683" s="154"/>
      <c r="B1683" s="155" t="s">
        <v>26</v>
      </c>
      <c r="C1683" s="156"/>
      <c r="D1683" s="154"/>
      <c r="E1683" s="157"/>
      <c r="F1683" s="158"/>
      <c r="G1683" s="159">
        <f>SUM(G1656:G1682)/2</f>
        <v>723610389</v>
      </c>
      <c r="H1683" s="160"/>
      <c r="IX1683" s="35"/>
      <c r="IY1683" s="35"/>
      <c r="ST1683" s="35"/>
      <c r="SU1683" s="35"/>
      <c r="ACP1683" s="35"/>
      <c r="ACQ1683" s="35"/>
      <c r="AML1683" s="35"/>
      <c r="AMM1683" s="35"/>
      <c r="AWH1683" s="35"/>
      <c r="AWI1683" s="35"/>
      <c r="BGD1683" s="35"/>
      <c r="BGE1683" s="35"/>
      <c r="BPZ1683" s="35"/>
      <c r="BQA1683" s="35"/>
      <c r="BZV1683" s="35"/>
      <c r="BZW1683" s="35"/>
      <c r="CJR1683" s="35"/>
      <c r="CJS1683" s="35"/>
      <c r="CTN1683" s="35"/>
      <c r="CTO1683" s="35"/>
      <c r="DDJ1683" s="35"/>
      <c r="DDK1683" s="35"/>
      <c r="DNF1683" s="35"/>
      <c r="DNG1683" s="35"/>
      <c r="DXB1683" s="35"/>
      <c r="DXC1683" s="35"/>
      <c r="EGX1683" s="35"/>
      <c r="EGY1683" s="35"/>
      <c r="EQT1683" s="35"/>
      <c r="EQU1683" s="35"/>
      <c r="FAP1683" s="35"/>
      <c r="FAQ1683" s="35"/>
      <c r="FKL1683" s="35"/>
      <c r="FKM1683" s="35"/>
      <c r="FUH1683" s="35"/>
      <c r="FUI1683" s="35"/>
      <c r="GED1683" s="35"/>
      <c r="GEE1683" s="35"/>
      <c r="GNZ1683" s="35"/>
      <c r="GOA1683" s="35"/>
      <c r="GXV1683" s="35"/>
      <c r="GXW1683" s="35"/>
      <c r="HHR1683" s="35"/>
      <c r="HHS1683" s="35"/>
      <c r="HRN1683" s="35"/>
      <c r="HRO1683" s="35"/>
      <c r="IBJ1683" s="35"/>
      <c r="IBK1683" s="35"/>
      <c r="ILF1683" s="35"/>
      <c r="ILG1683" s="35"/>
      <c r="IVB1683" s="35"/>
      <c r="IVC1683" s="35"/>
      <c r="JEX1683" s="35"/>
      <c r="JEY1683" s="35"/>
      <c r="JOT1683" s="35"/>
      <c r="JOU1683" s="35"/>
      <c r="JYP1683" s="35"/>
      <c r="JYQ1683" s="35"/>
      <c r="KIL1683" s="35"/>
      <c r="KIM1683" s="35"/>
      <c r="KSH1683" s="35"/>
      <c r="KSI1683" s="35"/>
      <c r="LCD1683" s="35"/>
      <c r="LCE1683" s="35"/>
      <c r="LLZ1683" s="35"/>
      <c r="LMA1683" s="35"/>
      <c r="LVV1683" s="35"/>
      <c r="LVW1683" s="35"/>
      <c r="MFR1683" s="35"/>
      <c r="MFS1683" s="35"/>
      <c r="MPN1683" s="35"/>
      <c r="MPO1683" s="35"/>
      <c r="MZJ1683" s="35"/>
      <c r="MZK1683" s="35"/>
      <c r="NJF1683" s="35"/>
      <c r="NJG1683" s="35"/>
      <c r="NTB1683" s="35"/>
      <c r="NTC1683" s="35"/>
      <c r="OCX1683" s="35"/>
      <c r="OCY1683" s="35"/>
      <c r="OMT1683" s="35"/>
      <c r="OMU1683" s="35"/>
      <c r="OWP1683" s="35"/>
      <c r="OWQ1683" s="35"/>
      <c r="PGL1683" s="35"/>
      <c r="PGM1683" s="35"/>
      <c r="PQH1683" s="35"/>
      <c r="PQI1683" s="35"/>
      <c r="QAD1683" s="35"/>
      <c r="QAE1683" s="35"/>
      <c r="QJZ1683" s="35"/>
      <c r="QKA1683" s="35"/>
      <c r="QTV1683" s="35"/>
      <c r="QTW1683" s="35"/>
      <c r="RDR1683" s="35"/>
      <c r="RDS1683" s="35"/>
      <c r="RNN1683" s="35"/>
      <c r="RNO1683" s="35"/>
      <c r="RXJ1683" s="35"/>
      <c r="RXK1683" s="35"/>
      <c r="SHF1683" s="35"/>
      <c r="SHG1683" s="35"/>
      <c r="SRB1683" s="35"/>
      <c r="SRC1683" s="35"/>
      <c r="TAX1683" s="35"/>
      <c r="TAY1683" s="35"/>
      <c r="TKT1683" s="35"/>
      <c r="TKU1683" s="35"/>
      <c r="TUP1683" s="35"/>
      <c r="TUQ1683" s="35"/>
      <c r="UEL1683" s="35"/>
      <c r="UEM1683" s="35"/>
      <c r="UOH1683" s="35"/>
      <c r="UOI1683" s="35"/>
      <c r="UYD1683" s="35"/>
      <c r="UYE1683" s="35"/>
      <c r="VHZ1683" s="35"/>
      <c r="VIA1683" s="35"/>
      <c r="VRV1683" s="35"/>
      <c r="VRW1683" s="35"/>
      <c r="WBR1683" s="35"/>
      <c r="WBS1683" s="35"/>
      <c r="WLN1683" s="35"/>
      <c r="WLO1683" s="35"/>
      <c r="WVJ1683" s="35"/>
      <c r="WVK1683" s="35"/>
    </row>
    <row r="1684" spans="1:771 1026:1795 2050:2819 3074:3843 4098:4867 5122:5891 6146:6915 7170:7939 8194:8963 9218:9987 10242:11011 11266:12035 12290:13059 13314:14083 14338:15107 15362:16131" s="35" customFormat="1" ht="55.2" x14ac:dyDescent="0.3">
      <c r="A1684" s="28">
        <v>158</v>
      </c>
      <c r="B1684" s="29" t="s">
        <v>1323</v>
      </c>
      <c r="C1684" s="30" t="s">
        <v>2290</v>
      </c>
      <c r="D1684" s="31" t="s">
        <v>13</v>
      </c>
      <c r="E1684" s="32">
        <v>10.8</v>
      </c>
      <c r="F1684" s="33"/>
      <c r="G1684" s="33"/>
      <c r="H1684" s="34" t="s">
        <v>1324</v>
      </c>
    </row>
    <row r="1685" spans="1:771 1026:1795 2050:2819 3074:3843 4098:4867 5122:5891 6146:6915 7170:7939 8194:8963 9218:9987 10242:11011 11266:12035 12290:13059 13314:14083 14338:15107 15362:16131" s="35" customFormat="1" x14ac:dyDescent="0.3">
      <c r="A1685" s="36"/>
      <c r="B1685" s="37" t="s">
        <v>1325</v>
      </c>
      <c r="C1685" s="38" t="s">
        <v>14</v>
      </c>
      <c r="D1685" s="39"/>
      <c r="E1685" s="44"/>
      <c r="F1685" s="40"/>
      <c r="G1685" s="41">
        <f>SUM(G1686)</f>
        <v>210373200</v>
      </c>
      <c r="H1685" s="42"/>
    </row>
    <row r="1686" spans="1:771 1026:1795 2050:2819 3074:3843 4098:4867 5122:5891 6146:6915 7170:7939 8194:8963 9218:9987 10242:11011 11266:12035 12290:13059 13314:14083 14338:15107 15362:16131" s="35" customFormat="1" ht="18.600000000000001" x14ac:dyDescent="0.3">
      <c r="A1686" s="36"/>
      <c r="B1686" s="37" t="s">
        <v>1326</v>
      </c>
      <c r="C1686" s="48" t="s">
        <v>38</v>
      </c>
      <c r="D1686" s="39" t="s">
        <v>13</v>
      </c>
      <c r="E1686" s="44">
        <v>10.8</v>
      </c>
      <c r="F1686" s="161">
        <v>19479000</v>
      </c>
      <c r="G1686" s="40">
        <f>E1686*F1686</f>
        <v>210373200</v>
      </c>
      <c r="H1686" s="42"/>
    </row>
    <row r="1687" spans="1:771 1026:1795 2050:2819 3074:3843 4098:4867 5122:5891 6146:6915 7170:7939 8194:8963 9218:9987 10242:11011 11266:12035 12290:13059 13314:14083 14338:15107 15362:16131" s="35" customFormat="1" x14ac:dyDescent="0.3">
      <c r="A1687" s="36"/>
      <c r="B1687" s="51" t="s">
        <v>1327</v>
      </c>
      <c r="C1687" s="47" t="s">
        <v>35</v>
      </c>
      <c r="D1687" s="39"/>
      <c r="E1687" s="44"/>
      <c r="F1687" s="40"/>
      <c r="G1687" s="41">
        <f>SUM(G1688:G1690)</f>
        <v>40484600</v>
      </c>
      <c r="H1687" s="45"/>
    </row>
    <row r="1688" spans="1:771 1026:1795 2050:2819 3074:3843 4098:4867 5122:5891 6146:6915 7170:7939 8194:8963 9218:9987 10242:11011 11266:12035 12290:13059 13314:14083 14338:15107 15362:16131" s="35" customFormat="1" ht="78" x14ac:dyDescent="0.3">
      <c r="A1688" s="36"/>
      <c r="B1688" s="37" t="s">
        <v>2506</v>
      </c>
      <c r="C1688" s="66" t="s">
        <v>1328</v>
      </c>
      <c r="D1688" s="39" t="s">
        <v>13</v>
      </c>
      <c r="E1688" s="44">
        <f>4*7</f>
        <v>28</v>
      </c>
      <c r="F1688" s="40">
        <f>3592000*40%</f>
        <v>1436800</v>
      </c>
      <c r="G1688" s="40">
        <f>E1688*F1688</f>
        <v>40230400</v>
      </c>
      <c r="H1688" s="45" t="s">
        <v>2507</v>
      </c>
    </row>
    <row r="1689" spans="1:771 1026:1795 2050:2819 3074:3843 4098:4867 5122:5891 6146:6915 7170:7939 8194:8963 9218:9987 10242:11011 11266:12035 12290:13059 13314:14083 14338:15107 15362:16131" s="35" customFormat="1" ht="62.4" x14ac:dyDescent="0.3">
      <c r="A1689" s="36"/>
      <c r="B1689" s="46" t="s">
        <v>2613</v>
      </c>
      <c r="C1689" s="66" t="s">
        <v>1329</v>
      </c>
      <c r="D1689" s="39" t="s">
        <v>13</v>
      </c>
      <c r="E1689" s="44">
        <f>(1.1+2.5)*7*0.5</f>
        <v>12.6</v>
      </c>
      <c r="F1689" s="40"/>
      <c r="G1689" s="40">
        <f>E1689*F1689</f>
        <v>0</v>
      </c>
      <c r="H1689" s="104" t="s">
        <v>2453</v>
      </c>
    </row>
    <row r="1690" spans="1:771 1026:1795 2050:2819 3074:3843 4098:4867 5122:5891 6146:6915 7170:7939 8194:8963 9218:9987 10242:11011 11266:12035 12290:13059 13314:14083 14338:15107 15362:16131" s="35" customFormat="1" ht="18.600000000000001" x14ac:dyDescent="0.3">
      <c r="A1690" s="36"/>
      <c r="B1690" s="50" t="s">
        <v>1330</v>
      </c>
      <c r="C1690" s="66" t="s">
        <v>18</v>
      </c>
      <c r="D1690" s="39" t="s">
        <v>13</v>
      </c>
      <c r="E1690" s="44">
        <f>(0.7*1.2)+(5.3*0.8)+(1.6*0.7)</f>
        <v>6.2</v>
      </c>
      <c r="F1690" s="40">
        <v>41000</v>
      </c>
      <c r="G1690" s="40">
        <f>E1690*F1690</f>
        <v>254200</v>
      </c>
      <c r="H1690" s="45"/>
    </row>
    <row r="1691" spans="1:771 1026:1795 2050:2819 3074:3843 4098:4867 5122:5891 6146:6915 7170:7939 8194:8963 9218:9987 10242:11011 11266:12035 12290:13059 13314:14083 14338:15107 15362:16131" s="35" customFormat="1" x14ac:dyDescent="0.3">
      <c r="A1691" s="36"/>
      <c r="B1691" s="46"/>
      <c r="C1691" s="51" t="s">
        <v>20</v>
      </c>
      <c r="D1691" s="39"/>
      <c r="E1691" s="44"/>
      <c r="F1691" s="40"/>
      <c r="G1691" s="41">
        <f>SUM(G1692:G1694)</f>
        <v>900000</v>
      </c>
      <c r="H1691" s="52"/>
    </row>
    <row r="1692" spans="1:771 1026:1795 2050:2819 3074:3843 4098:4867 5122:5891 6146:6915 7170:7939 8194:8963 9218:9987 10242:11011 11266:12035 12290:13059 13314:14083 14338:15107 15362:16131" s="35" customFormat="1" x14ac:dyDescent="0.3">
      <c r="A1692" s="36"/>
      <c r="B1692" s="46"/>
      <c r="C1692" s="50" t="s">
        <v>1331</v>
      </c>
      <c r="D1692" s="39" t="s">
        <v>21</v>
      </c>
      <c r="E1692" s="44">
        <v>1</v>
      </c>
      <c r="F1692" s="40">
        <v>600000</v>
      </c>
      <c r="G1692" s="40">
        <f>E1692*F1692</f>
        <v>600000</v>
      </c>
      <c r="H1692" s="52"/>
    </row>
    <row r="1693" spans="1:771 1026:1795 2050:2819 3074:3843 4098:4867 5122:5891 6146:6915 7170:7939 8194:8963 9218:9987 10242:11011 11266:12035 12290:13059 13314:14083 14338:15107 15362:16131" s="35" customFormat="1" x14ac:dyDescent="0.3">
      <c r="A1693" s="36"/>
      <c r="B1693" s="46"/>
      <c r="C1693" s="50" t="s">
        <v>902</v>
      </c>
      <c r="D1693" s="76" t="s">
        <v>22</v>
      </c>
      <c r="E1693" s="44">
        <v>6</v>
      </c>
      <c r="F1693" s="40">
        <v>40000</v>
      </c>
      <c r="G1693" s="40">
        <f>E1693*F1693</f>
        <v>240000</v>
      </c>
      <c r="H1693" s="52"/>
    </row>
    <row r="1694" spans="1:771 1026:1795 2050:2819 3074:3843 4098:4867 5122:5891 6146:6915 7170:7939 8194:8963 9218:9987 10242:11011 11266:12035 12290:13059 13314:14083 14338:15107 15362:16131" s="35" customFormat="1" x14ac:dyDescent="0.3">
      <c r="A1694" s="36"/>
      <c r="B1694" s="46"/>
      <c r="C1694" s="50" t="s">
        <v>196</v>
      </c>
      <c r="D1694" s="76" t="s">
        <v>22</v>
      </c>
      <c r="E1694" s="44">
        <v>3</v>
      </c>
      <c r="F1694" s="40">
        <v>20000</v>
      </c>
      <c r="G1694" s="40">
        <f>E1694*F1694</f>
        <v>60000</v>
      </c>
      <c r="H1694" s="52"/>
    </row>
    <row r="1695" spans="1:771 1026:1795 2050:2819 3074:3843 4098:4867 5122:5891 6146:6915 7170:7939 8194:8963 9218:9987 10242:11011 11266:12035 12290:13059 13314:14083 14338:15107 15362:16131" s="35" customFormat="1" ht="65.400000000000006" thickBot="1" x14ac:dyDescent="0.35">
      <c r="A1695" s="53"/>
      <c r="B1695" s="54"/>
      <c r="C1695" s="55" t="s">
        <v>2331</v>
      </c>
      <c r="D1695" s="56"/>
      <c r="E1695" s="5"/>
      <c r="F1695" s="6"/>
      <c r="G1695" s="40"/>
      <c r="H1695" s="58"/>
    </row>
    <row r="1696" spans="1:771 1026:1795 2050:2819 3074:3843 4098:4867 5122:5891 6146:6915 7170:7939 8194:8963 9218:9987 10242:11011 11266:12035 12290:13059 13314:14083 14338:15107 15362:16131" s="59" customFormat="1" ht="31.8" thickBot="1" x14ac:dyDescent="0.35">
      <c r="A1696" s="154"/>
      <c r="B1696" s="155" t="s">
        <v>26</v>
      </c>
      <c r="C1696" s="156"/>
      <c r="D1696" s="154"/>
      <c r="E1696" s="157"/>
      <c r="F1696" s="158"/>
      <c r="G1696" s="159">
        <f>SUM(G1684:G1695)/2</f>
        <v>251757800</v>
      </c>
      <c r="H1696" s="160"/>
      <c r="IX1696" s="35"/>
      <c r="IY1696" s="35"/>
      <c r="ST1696" s="35"/>
      <c r="SU1696" s="35"/>
      <c r="ACP1696" s="35"/>
      <c r="ACQ1696" s="35"/>
      <c r="AML1696" s="35"/>
      <c r="AMM1696" s="35"/>
      <c r="AWH1696" s="35"/>
      <c r="AWI1696" s="35"/>
      <c r="BGD1696" s="35"/>
      <c r="BGE1696" s="35"/>
      <c r="BPZ1696" s="35"/>
      <c r="BQA1696" s="35"/>
      <c r="BZV1696" s="35"/>
      <c r="BZW1696" s="35"/>
      <c r="CJR1696" s="35"/>
      <c r="CJS1696" s="35"/>
      <c r="CTN1696" s="35"/>
      <c r="CTO1696" s="35"/>
      <c r="DDJ1696" s="35"/>
      <c r="DDK1696" s="35"/>
      <c r="DNF1696" s="35"/>
      <c r="DNG1696" s="35"/>
      <c r="DXB1696" s="35"/>
      <c r="DXC1696" s="35"/>
      <c r="EGX1696" s="35"/>
      <c r="EGY1696" s="35"/>
      <c r="EQT1696" s="35"/>
      <c r="EQU1696" s="35"/>
      <c r="FAP1696" s="35"/>
      <c r="FAQ1696" s="35"/>
      <c r="FKL1696" s="35"/>
      <c r="FKM1696" s="35"/>
      <c r="FUH1696" s="35"/>
      <c r="FUI1696" s="35"/>
      <c r="GED1696" s="35"/>
      <c r="GEE1696" s="35"/>
      <c r="GNZ1696" s="35"/>
      <c r="GOA1696" s="35"/>
      <c r="GXV1696" s="35"/>
      <c r="GXW1696" s="35"/>
      <c r="HHR1696" s="35"/>
      <c r="HHS1696" s="35"/>
      <c r="HRN1696" s="35"/>
      <c r="HRO1696" s="35"/>
      <c r="IBJ1696" s="35"/>
      <c r="IBK1696" s="35"/>
      <c r="ILF1696" s="35"/>
      <c r="ILG1696" s="35"/>
      <c r="IVB1696" s="35"/>
      <c r="IVC1696" s="35"/>
      <c r="JEX1696" s="35"/>
      <c r="JEY1696" s="35"/>
      <c r="JOT1696" s="35"/>
      <c r="JOU1696" s="35"/>
      <c r="JYP1696" s="35"/>
      <c r="JYQ1696" s="35"/>
      <c r="KIL1696" s="35"/>
      <c r="KIM1696" s="35"/>
      <c r="KSH1696" s="35"/>
      <c r="KSI1696" s="35"/>
      <c r="LCD1696" s="35"/>
      <c r="LCE1696" s="35"/>
      <c r="LLZ1696" s="35"/>
      <c r="LMA1696" s="35"/>
      <c r="LVV1696" s="35"/>
      <c r="LVW1696" s="35"/>
      <c r="MFR1696" s="35"/>
      <c r="MFS1696" s="35"/>
      <c r="MPN1696" s="35"/>
      <c r="MPO1696" s="35"/>
      <c r="MZJ1696" s="35"/>
      <c r="MZK1696" s="35"/>
      <c r="NJF1696" s="35"/>
      <c r="NJG1696" s="35"/>
      <c r="NTB1696" s="35"/>
      <c r="NTC1696" s="35"/>
      <c r="OCX1696" s="35"/>
      <c r="OCY1696" s="35"/>
      <c r="OMT1696" s="35"/>
      <c r="OMU1696" s="35"/>
      <c r="OWP1696" s="35"/>
      <c r="OWQ1696" s="35"/>
      <c r="PGL1696" s="35"/>
      <c r="PGM1696" s="35"/>
      <c r="PQH1696" s="35"/>
      <c r="PQI1696" s="35"/>
      <c r="QAD1696" s="35"/>
      <c r="QAE1696" s="35"/>
      <c r="QJZ1696" s="35"/>
      <c r="QKA1696" s="35"/>
      <c r="QTV1696" s="35"/>
      <c r="QTW1696" s="35"/>
      <c r="RDR1696" s="35"/>
      <c r="RDS1696" s="35"/>
      <c r="RNN1696" s="35"/>
      <c r="RNO1696" s="35"/>
      <c r="RXJ1696" s="35"/>
      <c r="RXK1696" s="35"/>
      <c r="SHF1696" s="35"/>
      <c r="SHG1696" s="35"/>
      <c r="SRB1696" s="35"/>
      <c r="SRC1696" s="35"/>
      <c r="TAX1696" s="35"/>
      <c r="TAY1696" s="35"/>
      <c r="TKT1696" s="35"/>
      <c r="TKU1696" s="35"/>
      <c r="TUP1696" s="35"/>
      <c r="TUQ1696" s="35"/>
      <c r="UEL1696" s="35"/>
      <c r="UEM1696" s="35"/>
      <c r="UOH1696" s="35"/>
      <c r="UOI1696" s="35"/>
      <c r="UYD1696" s="35"/>
      <c r="UYE1696" s="35"/>
      <c r="VHZ1696" s="35"/>
      <c r="VIA1696" s="35"/>
      <c r="VRV1696" s="35"/>
      <c r="VRW1696" s="35"/>
      <c r="WBR1696" s="35"/>
      <c r="WBS1696" s="35"/>
      <c r="WLN1696" s="35"/>
      <c r="WLO1696" s="35"/>
      <c r="WVJ1696" s="35"/>
      <c r="WVK1696" s="35"/>
    </row>
    <row r="1697" spans="1:8" s="35" customFormat="1" ht="55.2" x14ac:dyDescent="0.3">
      <c r="A1697" s="28">
        <v>159</v>
      </c>
      <c r="B1697" s="29" t="s">
        <v>1332</v>
      </c>
      <c r="C1697" s="30" t="s">
        <v>2207</v>
      </c>
      <c r="D1697" s="31" t="s">
        <v>13</v>
      </c>
      <c r="E1697" s="32">
        <v>8.1999999999999993</v>
      </c>
      <c r="F1697" s="33"/>
      <c r="G1697" s="33"/>
      <c r="H1697" s="34" t="s">
        <v>1333</v>
      </c>
    </row>
    <row r="1698" spans="1:8" s="35" customFormat="1" x14ac:dyDescent="0.3">
      <c r="A1698" s="36"/>
      <c r="B1698" s="37" t="s">
        <v>1334</v>
      </c>
      <c r="C1698" s="38" t="s">
        <v>14</v>
      </c>
      <c r="D1698" s="39"/>
      <c r="E1698" s="44"/>
      <c r="F1698" s="40"/>
      <c r="G1698" s="41">
        <f>SUM(G1699)</f>
        <v>85312800</v>
      </c>
      <c r="H1698" s="42"/>
    </row>
    <row r="1699" spans="1:8" s="35" customFormat="1" ht="31.2" x14ac:dyDescent="0.3">
      <c r="A1699" s="36"/>
      <c r="B1699" s="37" t="s">
        <v>1335</v>
      </c>
      <c r="C1699" s="43" t="s">
        <v>55</v>
      </c>
      <c r="D1699" s="39" t="s">
        <v>13</v>
      </c>
      <c r="E1699" s="44">
        <v>8.1999999999999993</v>
      </c>
      <c r="F1699" s="153">
        <v>10404000</v>
      </c>
      <c r="G1699" s="40">
        <f>E1699*F1699</f>
        <v>85312800</v>
      </c>
      <c r="H1699" s="42"/>
    </row>
    <row r="1700" spans="1:8" s="35" customFormat="1" ht="62.4" x14ac:dyDescent="0.3">
      <c r="A1700" s="36"/>
      <c r="B1700" s="37" t="s">
        <v>1336</v>
      </c>
      <c r="C1700" s="47" t="s">
        <v>35</v>
      </c>
      <c r="D1700" s="39"/>
      <c r="E1700" s="44"/>
      <c r="F1700" s="40"/>
      <c r="G1700" s="41">
        <f>SUM(G1701:G1709)</f>
        <v>29994283</v>
      </c>
      <c r="H1700" s="45"/>
    </row>
    <row r="1701" spans="1:8" s="35" customFormat="1" ht="31.2" x14ac:dyDescent="0.3">
      <c r="A1701" s="36"/>
      <c r="B1701" s="50" t="s">
        <v>67</v>
      </c>
      <c r="C1701" s="48" t="s">
        <v>1337</v>
      </c>
      <c r="D1701" s="39" t="s">
        <v>13</v>
      </c>
      <c r="E1701" s="44">
        <f>2.5*1.5*2</f>
        <v>7.5</v>
      </c>
      <c r="F1701" s="40">
        <v>733000</v>
      </c>
      <c r="G1701" s="40">
        <f t="shared" ref="G1701:G1709" si="25">E1701*F1701</f>
        <v>5497500</v>
      </c>
      <c r="H1701" s="52"/>
    </row>
    <row r="1702" spans="1:8" s="35" customFormat="1" ht="18.600000000000001" x14ac:dyDescent="0.3">
      <c r="A1702" s="36"/>
      <c r="B1702" s="46"/>
      <c r="C1702" s="48" t="s">
        <v>1338</v>
      </c>
      <c r="D1702" s="39" t="s">
        <v>13</v>
      </c>
      <c r="E1702" s="44">
        <f>3.5*2.2</f>
        <v>7.7000000000000011</v>
      </c>
      <c r="F1702" s="40">
        <v>1032000</v>
      </c>
      <c r="G1702" s="40">
        <f t="shared" si="25"/>
        <v>7946400.0000000009</v>
      </c>
      <c r="H1702" s="52"/>
    </row>
    <row r="1703" spans="1:8" s="35" customFormat="1" ht="18.600000000000001" x14ac:dyDescent="0.3">
      <c r="A1703" s="36"/>
      <c r="B1703" s="46"/>
      <c r="C1703" s="48" t="s">
        <v>187</v>
      </c>
      <c r="D1703" s="39" t="s">
        <v>104</v>
      </c>
      <c r="E1703" s="44">
        <f>0.3*0.3*2.6*2</f>
        <v>0.46799999999999997</v>
      </c>
      <c r="F1703" s="40">
        <v>1946000</v>
      </c>
      <c r="G1703" s="40">
        <f t="shared" si="25"/>
        <v>910728</v>
      </c>
      <c r="H1703" s="52"/>
    </row>
    <row r="1704" spans="1:8" s="35" customFormat="1" ht="18.600000000000001" x14ac:dyDescent="0.3">
      <c r="A1704" s="36"/>
      <c r="B1704" s="46"/>
      <c r="C1704" s="48" t="s">
        <v>1339</v>
      </c>
      <c r="D1704" s="39" t="s">
        <v>13</v>
      </c>
      <c r="E1704" s="44">
        <f>0.3*2.6*8</f>
        <v>6.24</v>
      </c>
      <c r="F1704" s="40">
        <v>107000</v>
      </c>
      <c r="G1704" s="40">
        <f t="shared" si="25"/>
        <v>667680</v>
      </c>
      <c r="H1704" s="52"/>
    </row>
    <row r="1705" spans="1:8" s="35" customFormat="1" ht="18.600000000000001" x14ac:dyDescent="0.3">
      <c r="A1705" s="36"/>
      <c r="B1705" s="46"/>
      <c r="C1705" s="48" t="s">
        <v>1340</v>
      </c>
      <c r="D1705" s="39" t="s">
        <v>13</v>
      </c>
      <c r="E1705" s="44">
        <f>3.2*2.3</f>
        <v>7.3599999999999994</v>
      </c>
      <c r="F1705" s="40">
        <v>100000</v>
      </c>
      <c r="G1705" s="40">
        <f t="shared" si="25"/>
        <v>736000</v>
      </c>
      <c r="H1705" s="52"/>
    </row>
    <row r="1706" spans="1:8" s="35" customFormat="1" ht="18.600000000000001" x14ac:dyDescent="0.3">
      <c r="A1706" s="36"/>
      <c r="B1706" s="46"/>
      <c r="C1706" s="48" t="s">
        <v>1341</v>
      </c>
      <c r="D1706" s="39" t="s">
        <v>13</v>
      </c>
      <c r="E1706" s="44">
        <f>1.5*8.1</f>
        <v>12.149999999999999</v>
      </c>
      <c r="F1706" s="40">
        <v>400000</v>
      </c>
      <c r="G1706" s="40">
        <f t="shared" si="25"/>
        <v>4859999.9999999991</v>
      </c>
      <c r="H1706" s="52"/>
    </row>
    <row r="1707" spans="1:8" s="35" customFormat="1" ht="18.600000000000001" x14ac:dyDescent="0.3">
      <c r="A1707" s="36"/>
      <c r="B1707" s="46"/>
      <c r="C1707" s="48" t="s">
        <v>260</v>
      </c>
      <c r="D1707" s="39" t="s">
        <v>104</v>
      </c>
      <c r="E1707" s="44">
        <f>(0.6+0.9)*8.1*0.5</f>
        <v>6.0749999999999993</v>
      </c>
      <c r="F1707" s="40">
        <v>1533000</v>
      </c>
      <c r="G1707" s="40">
        <f t="shared" si="25"/>
        <v>9312974.9999999981</v>
      </c>
      <c r="H1707" s="52"/>
    </row>
    <row r="1708" spans="1:8" s="35" customFormat="1" x14ac:dyDescent="0.3">
      <c r="A1708" s="36"/>
      <c r="B1708" s="46"/>
      <c r="C1708" s="48" t="s">
        <v>1342</v>
      </c>
      <c r="D1708" s="39" t="s">
        <v>19</v>
      </c>
      <c r="E1708" s="44">
        <v>6</v>
      </c>
      <c r="F1708" s="74">
        <f>42000/4</f>
        <v>10500</v>
      </c>
      <c r="G1708" s="40">
        <f t="shared" si="25"/>
        <v>63000</v>
      </c>
      <c r="H1708" s="52"/>
    </row>
    <row r="1709" spans="1:8" s="35" customFormat="1" x14ac:dyDescent="0.3">
      <c r="A1709" s="36"/>
      <c r="B1709" s="46"/>
      <c r="C1709" s="48" t="s">
        <v>105</v>
      </c>
      <c r="D1709" s="39" t="s">
        <v>106</v>
      </c>
      <c r="E1709" s="44">
        <v>1</v>
      </c>
      <c r="F1709" s="40"/>
      <c r="G1709" s="40">
        <f t="shared" si="25"/>
        <v>0</v>
      </c>
      <c r="H1709" s="52" t="s">
        <v>2353</v>
      </c>
    </row>
    <row r="1710" spans="1:8" s="35" customFormat="1" x14ac:dyDescent="0.3">
      <c r="A1710" s="36"/>
      <c r="B1710" s="46"/>
      <c r="C1710" s="51" t="s">
        <v>20</v>
      </c>
      <c r="D1710" s="39"/>
      <c r="E1710" s="44"/>
      <c r="F1710" s="40"/>
      <c r="G1710" s="41">
        <f>SUM(G1711:G1713)</f>
        <v>1320000</v>
      </c>
      <c r="H1710" s="52"/>
    </row>
    <row r="1711" spans="1:8" s="35" customFormat="1" x14ac:dyDescent="0.3">
      <c r="A1711" s="36"/>
      <c r="B1711" s="46"/>
      <c r="C1711" s="50" t="s">
        <v>197</v>
      </c>
      <c r="D1711" s="76" t="s">
        <v>22</v>
      </c>
      <c r="E1711" s="44">
        <v>4</v>
      </c>
      <c r="F1711" s="40">
        <v>20000</v>
      </c>
      <c r="G1711" s="40">
        <f>E1711*F1711</f>
        <v>80000</v>
      </c>
      <c r="H1711" s="52"/>
    </row>
    <row r="1712" spans="1:8" s="35" customFormat="1" x14ac:dyDescent="0.3">
      <c r="A1712" s="36"/>
      <c r="B1712" s="46"/>
      <c r="C1712" s="50" t="s">
        <v>1343</v>
      </c>
      <c r="D1712" s="39" t="s">
        <v>21</v>
      </c>
      <c r="E1712" s="44">
        <v>1</v>
      </c>
      <c r="F1712" s="40">
        <v>1200000</v>
      </c>
      <c r="G1712" s="40">
        <f>E1712*F1712</f>
        <v>1200000</v>
      </c>
      <c r="H1712" s="52"/>
    </row>
    <row r="1713" spans="1:771 1026:1795 2050:2819 3074:3843 4098:4867 5122:5891 6146:6915 7170:7939 8194:8963 9218:9987 10242:11011 11266:12035 12290:13059 13314:14083 14338:15107 15362:16131" s="35" customFormat="1" x14ac:dyDescent="0.3">
      <c r="A1713" s="36"/>
      <c r="B1713" s="46"/>
      <c r="C1713" s="50" t="s">
        <v>779</v>
      </c>
      <c r="D1713" s="76" t="s">
        <v>22</v>
      </c>
      <c r="E1713" s="44">
        <v>1</v>
      </c>
      <c r="F1713" s="40">
        <v>40000</v>
      </c>
      <c r="G1713" s="40">
        <f>E1713*F1713</f>
        <v>40000</v>
      </c>
      <c r="H1713" s="52"/>
    </row>
    <row r="1714" spans="1:771 1026:1795 2050:2819 3074:3843 4098:4867 5122:5891 6146:6915 7170:7939 8194:8963 9218:9987 10242:11011 11266:12035 12290:13059 13314:14083 14338:15107 15362:16131" s="35" customFormat="1" x14ac:dyDescent="0.3">
      <c r="A1714" s="36"/>
      <c r="B1714" s="46"/>
      <c r="C1714" s="51" t="s">
        <v>23</v>
      </c>
      <c r="D1714" s="39"/>
      <c r="E1714" s="1"/>
      <c r="F1714" s="2"/>
      <c r="G1714" s="41">
        <f>SUM(G1715:G1716)</f>
        <v>3060000</v>
      </c>
      <c r="H1714" s="52"/>
    </row>
    <row r="1715" spans="1:771 1026:1795 2050:2819 3074:3843 4098:4867 5122:5891 6146:6915 7170:7939 8194:8963 9218:9987 10242:11011 11266:12035 12290:13059 13314:14083 14338:15107 15362:16131" s="35" customFormat="1" x14ac:dyDescent="0.3">
      <c r="A1715" s="36"/>
      <c r="B1715" s="46"/>
      <c r="C1715" s="50" t="s">
        <v>24</v>
      </c>
      <c r="D1715" s="39" t="s">
        <v>25</v>
      </c>
      <c r="E1715" s="1">
        <f>1*30*6</f>
        <v>180</v>
      </c>
      <c r="F1715" s="2">
        <v>17000</v>
      </c>
      <c r="G1715" s="40">
        <f>E1715*F1715</f>
        <v>3060000</v>
      </c>
      <c r="H1715" s="42"/>
    </row>
    <row r="1716" spans="1:771 1026:1795 2050:2819 3074:3843 4098:4867 5122:5891 6146:6915 7170:7939 8194:8963 9218:9987 10242:11011 11266:12035 12290:13059 13314:14083 14338:15107 15362:16131" s="35" customFormat="1" ht="65.400000000000006" thickBot="1" x14ac:dyDescent="0.35">
      <c r="A1716" s="53"/>
      <c r="B1716" s="54"/>
      <c r="C1716" s="55" t="s">
        <v>2331</v>
      </c>
      <c r="D1716" s="56"/>
      <c r="E1716" s="5"/>
      <c r="F1716" s="6"/>
      <c r="G1716" s="57"/>
      <c r="H1716" s="58"/>
    </row>
    <row r="1717" spans="1:771 1026:1795 2050:2819 3074:3843 4098:4867 5122:5891 6146:6915 7170:7939 8194:8963 9218:9987 10242:11011 11266:12035 12290:13059 13314:14083 14338:15107 15362:16131" s="59" customFormat="1" ht="31.8" thickBot="1" x14ac:dyDescent="0.35">
      <c r="A1717" s="154"/>
      <c r="B1717" s="155" t="s">
        <v>26</v>
      </c>
      <c r="C1717" s="156"/>
      <c r="D1717" s="154"/>
      <c r="E1717" s="157"/>
      <c r="F1717" s="158"/>
      <c r="G1717" s="159">
        <f>SUM(G1697:G1716)/2</f>
        <v>119687083</v>
      </c>
      <c r="H1717" s="160"/>
      <c r="IX1717" s="35"/>
      <c r="IY1717" s="35"/>
      <c r="ST1717" s="35"/>
      <c r="SU1717" s="35"/>
      <c r="ACP1717" s="35"/>
      <c r="ACQ1717" s="35"/>
      <c r="AML1717" s="35"/>
      <c r="AMM1717" s="35"/>
      <c r="AWH1717" s="35"/>
      <c r="AWI1717" s="35"/>
      <c r="BGD1717" s="35"/>
      <c r="BGE1717" s="35"/>
      <c r="BPZ1717" s="35"/>
      <c r="BQA1717" s="35"/>
      <c r="BZV1717" s="35"/>
      <c r="BZW1717" s="35"/>
      <c r="CJR1717" s="35"/>
      <c r="CJS1717" s="35"/>
      <c r="CTN1717" s="35"/>
      <c r="CTO1717" s="35"/>
      <c r="DDJ1717" s="35"/>
      <c r="DDK1717" s="35"/>
      <c r="DNF1717" s="35"/>
      <c r="DNG1717" s="35"/>
      <c r="DXB1717" s="35"/>
      <c r="DXC1717" s="35"/>
      <c r="EGX1717" s="35"/>
      <c r="EGY1717" s="35"/>
      <c r="EQT1717" s="35"/>
      <c r="EQU1717" s="35"/>
      <c r="FAP1717" s="35"/>
      <c r="FAQ1717" s="35"/>
      <c r="FKL1717" s="35"/>
      <c r="FKM1717" s="35"/>
      <c r="FUH1717" s="35"/>
      <c r="FUI1717" s="35"/>
      <c r="GED1717" s="35"/>
      <c r="GEE1717" s="35"/>
      <c r="GNZ1717" s="35"/>
      <c r="GOA1717" s="35"/>
      <c r="GXV1717" s="35"/>
      <c r="GXW1717" s="35"/>
      <c r="HHR1717" s="35"/>
      <c r="HHS1717" s="35"/>
      <c r="HRN1717" s="35"/>
      <c r="HRO1717" s="35"/>
      <c r="IBJ1717" s="35"/>
      <c r="IBK1717" s="35"/>
      <c r="ILF1717" s="35"/>
      <c r="ILG1717" s="35"/>
      <c r="IVB1717" s="35"/>
      <c r="IVC1717" s="35"/>
      <c r="JEX1717" s="35"/>
      <c r="JEY1717" s="35"/>
      <c r="JOT1717" s="35"/>
      <c r="JOU1717" s="35"/>
      <c r="JYP1717" s="35"/>
      <c r="JYQ1717" s="35"/>
      <c r="KIL1717" s="35"/>
      <c r="KIM1717" s="35"/>
      <c r="KSH1717" s="35"/>
      <c r="KSI1717" s="35"/>
      <c r="LCD1717" s="35"/>
      <c r="LCE1717" s="35"/>
      <c r="LLZ1717" s="35"/>
      <c r="LMA1717" s="35"/>
      <c r="LVV1717" s="35"/>
      <c r="LVW1717" s="35"/>
      <c r="MFR1717" s="35"/>
      <c r="MFS1717" s="35"/>
      <c r="MPN1717" s="35"/>
      <c r="MPO1717" s="35"/>
      <c r="MZJ1717" s="35"/>
      <c r="MZK1717" s="35"/>
      <c r="NJF1717" s="35"/>
      <c r="NJG1717" s="35"/>
      <c r="NTB1717" s="35"/>
      <c r="NTC1717" s="35"/>
      <c r="OCX1717" s="35"/>
      <c r="OCY1717" s="35"/>
      <c r="OMT1717" s="35"/>
      <c r="OMU1717" s="35"/>
      <c r="OWP1717" s="35"/>
      <c r="OWQ1717" s="35"/>
      <c r="PGL1717" s="35"/>
      <c r="PGM1717" s="35"/>
      <c r="PQH1717" s="35"/>
      <c r="PQI1717" s="35"/>
      <c r="QAD1717" s="35"/>
      <c r="QAE1717" s="35"/>
      <c r="QJZ1717" s="35"/>
      <c r="QKA1717" s="35"/>
      <c r="QTV1717" s="35"/>
      <c r="QTW1717" s="35"/>
      <c r="RDR1717" s="35"/>
      <c r="RDS1717" s="35"/>
      <c r="RNN1717" s="35"/>
      <c r="RNO1717" s="35"/>
      <c r="RXJ1717" s="35"/>
      <c r="RXK1717" s="35"/>
      <c r="SHF1717" s="35"/>
      <c r="SHG1717" s="35"/>
      <c r="SRB1717" s="35"/>
      <c r="SRC1717" s="35"/>
      <c r="TAX1717" s="35"/>
      <c r="TAY1717" s="35"/>
      <c r="TKT1717" s="35"/>
      <c r="TKU1717" s="35"/>
      <c r="TUP1717" s="35"/>
      <c r="TUQ1717" s="35"/>
      <c r="UEL1717" s="35"/>
      <c r="UEM1717" s="35"/>
      <c r="UOH1717" s="35"/>
      <c r="UOI1717" s="35"/>
      <c r="UYD1717" s="35"/>
      <c r="UYE1717" s="35"/>
      <c r="VHZ1717" s="35"/>
      <c r="VIA1717" s="35"/>
      <c r="VRV1717" s="35"/>
      <c r="VRW1717" s="35"/>
      <c r="WBR1717" s="35"/>
      <c r="WBS1717" s="35"/>
      <c r="WLN1717" s="35"/>
      <c r="WLO1717" s="35"/>
      <c r="WVJ1717" s="35"/>
      <c r="WVK1717" s="35"/>
    </row>
    <row r="1718" spans="1:771 1026:1795 2050:2819 3074:3843 4098:4867 5122:5891 6146:6915 7170:7939 8194:8963 9218:9987 10242:11011 11266:12035 12290:13059 13314:14083 14338:15107 15362:16131" s="35" customFormat="1" x14ac:dyDescent="0.3">
      <c r="A1718" s="28">
        <v>160</v>
      </c>
      <c r="B1718" s="29" t="s">
        <v>1344</v>
      </c>
      <c r="C1718" s="61" t="s">
        <v>14</v>
      </c>
      <c r="D1718" s="31"/>
      <c r="E1718" s="32"/>
      <c r="F1718" s="33"/>
      <c r="G1718" s="62">
        <f>SUM(G1719:G1722)</f>
        <v>382616400</v>
      </c>
      <c r="H1718" s="34" t="s">
        <v>1345</v>
      </c>
    </row>
    <row r="1719" spans="1:771 1026:1795 2050:2819 3074:3843 4098:4867 5122:5891 6146:6915 7170:7939 8194:8963 9218:9987 10242:11011 11266:12035 12290:13059 13314:14083 14338:15107 15362:16131" s="35" customFormat="1" ht="62.4" x14ac:dyDescent="0.3">
      <c r="A1719" s="36"/>
      <c r="B1719" s="46" t="s">
        <v>1347</v>
      </c>
      <c r="C1719" s="48" t="s">
        <v>2254</v>
      </c>
      <c r="D1719" s="39" t="s">
        <v>13</v>
      </c>
      <c r="E1719" s="44">
        <v>8.8000000000000007</v>
      </c>
      <c r="F1719" s="40"/>
      <c r="G1719" s="40"/>
      <c r="H1719" s="42" t="s">
        <v>64</v>
      </c>
    </row>
    <row r="1720" spans="1:771 1026:1795 2050:2819 3074:3843 4098:4867 5122:5891 6146:6915 7170:7939 8194:8963 9218:9987 10242:11011 11266:12035 12290:13059 13314:14083 14338:15107 15362:16131" s="35" customFormat="1" ht="18.600000000000001" x14ac:dyDescent="0.3">
      <c r="A1720" s="36"/>
      <c r="B1720" s="50" t="s">
        <v>1348</v>
      </c>
      <c r="C1720" s="48" t="s">
        <v>38</v>
      </c>
      <c r="D1720" s="39" t="s">
        <v>13</v>
      </c>
      <c r="E1720" s="44">
        <v>8.8000000000000007</v>
      </c>
      <c r="F1720" s="161">
        <v>19479000</v>
      </c>
      <c r="G1720" s="40">
        <f>E1720*F1720</f>
        <v>171415200</v>
      </c>
      <c r="H1720" s="42"/>
    </row>
    <row r="1721" spans="1:771 1026:1795 2050:2819 3074:3843 4098:4867 5122:5891 6146:6915 7170:7939 8194:8963 9218:9987 10242:11011 11266:12035 12290:13059 13314:14083 14338:15107 15362:16131" s="35" customFormat="1" ht="41.4" x14ac:dyDescent="0.3">
      <c r="A1721" s="36"/>
      <c r="B1721" s="37"/>
      <c r="C1721" s="48" t="s">
        <v>2255</v>
      </c>
      <c r="D1721" s="39" t="s">
        <v>13</v>
      </c>
      <c r="E1721" s="44">
        <f>9.1+11.2</f>
        <v>20.299999999999997</v>
      </c>
      <c r="F1721" s="40"/>
      <c r="G1721" s="40"/>
      <c r="H1721" s="42" t="s">
        <v>64</v>
      </c>
    </row>
    <row r="1722" spans="1:771 1026:1795 2050:2819 3074:3843 4098:4867 5122:5891 6146:6915 7170:7939 8194:8963 9218:9987 10242:11011 11266:12035 12290:13059 13314:14083 14338:15107 15362:16131" s="35" customFormat="1" ht="31.2" x14ac:dyDescent="0.3">
      <c r="A1722" s="36"/>
      <c r="B1722" s="46"/>
      <c r="C1722" s="43" t="s">
        <v>55</v>
      </c>
      <c r="D1722" s="39" t="s">
        <v>13</v>
      </c>
      <c r="E1722" s="44">
        <f>9.1+11.2</f>
        <v>20.299999999999997</v>
      </c>
      <c r="F1722" s="153">
        <v>10404000</v>
      </c>
      <c r="G1722" s="40">
        <f>E1722*F1722</f>
        <v>211201199.99999997</v>
      </c>
      <c r="H1722" s="42"/>
    </row>
    <row r="1723" spans="1:771 1026:1795 2050:2819 3074:3843 4098:4867 5122:5891 6146:6915 7170:7939 8194:8963 9218:9987 10242:11011 11266:12035 12290:13059 13314:14083 14338:15107 15362:16131" s="35" customFormat="1" x14ac:dyDescent="0.3">
      <c r="A1723" s="36"/>
      <c r="B1723" s="50"/>
      <c r="C1723" s="47" t="s">
        <v>35</v>
      </c>
      <c r="D1723" s="39"/>
      <c r="E1723" s="44"/>
      <c r="F1723" s="40"/>
      <c r="G1723" s="41">
        <f>SUM(G1724:G1729)</f>
        <v>20617276</v>
      </c>
      <c r="H1723" s="45"/>
    </row>
    <row r="1724" spans="1:771 1026:1795 2050:2819 3074:3843 4098:4867 5122:5891 6146:6915 7170:7939 8194:8963 9218:9987 10242:11011 11266:12035 12290:13059 13314:14083 14338:15107 15362:16131" s="35" customFormat="1" ht="31.2" x14ac:dyDescent="0.3">
      <c r="A1724" s="36"/>
      <c r="B1724" s="46"/>
      <c r="C1724" s="48" t="s">
        <v>1349</v>
      </c>
      <c r="D1724" s="39" t="s">
        <v>13</v>
      </c>
      <c r="E1724" s="44">
        <f>(2.6+3.8)*5.2*0.5</f>
        <v>16.64</v>
      </c>
      <c r="F1724" s="40">
        <v>540000</v>
      </c>
      <c r="G1724" s="40">
        <f t="shared" ref="G1724:G1729" si="26">E1724*F1724</f>
        <v>8985600</v>
      </c>
      <c r="H1724" s="20" t="s">
        <v>2375</v>
      </c>
    </row>
    <row r="1725" spans="1:771 1026:1795 2050:2819 3074:3843 4098:4867 5122:5891 6146:6915 7170:7939 8194:8963 9218:9987 10242:11011 11266:12035 12290:13059 13314:14083 14338:15107 15362:16131" s="35" customFormat="1" ht="31.2" x14ac:dyDescent="0.3">
      <c r="A1725" s="36"/>
      <c r="B1725" s="46"/>
      <c r="C1725" s="48" t="s">
        <v>2508</v>
      </c>
      <c r="D1725" s="39" t="s">
        <v>13</v>
      </c>
      <c r="E1725" s="44">
        <f>1*11.1</f>
        <v>11.1</v>
      </c>
      <c r="F1725" s="40">
        <v>540000</v>
      </c>
      <c r="G1725" s="40">
        <f t="shared" si="26"/>
        <v>5994000</v>
      </c>
      <c r="H1725" s="20" t="s">
        <v>2375</v>
      </c>
    </row>
    <row r="1726" spans="1:771 1026:1795 2050:2819 3074:3843 4098:4867 5122:5891 6146:6915 7170:7939 8194:8963 9218:9987 10242:11011 11266:12035 12290:13059 13314:14083 14338:15107 15362:16131" s="35" customFormat="1" ht="18.600000000000001" x14ac:dyDescent="0.3">
      <c r="A1726" s="36"/>
      <c r="B1726" s="46"/>
      <c r="C1726" s="48" t="s">
        <v>189</v>
      </c>
      <c r="D1726" s="39" t="s">
        <v>128</v>
      </c>
      <c r="E1726" s="44">
        <f>0.5*1.8</f>
        <v>0.9</v>
      </c>
      <c r="F1726" s="40">
        <v>1421000</v>
      </c>
      <c r="G1726" s="40">
        <f t="shared" si="26"/>
        <v>1278900</v>
      </c>
      <c r="H1726" s="52"/>
    </row>
    <row r="1727" spans="1:771 1026:1795 2050:2819 3074:3843 4098:4867 5122:5891 6146:6915 7170:7939 8194:8963 9218:9987 10242:11011 11266:12035 12290:13059 13314:14083 14338:15107 15362:16131" s="35" customFormat="1" ht="18.600000000000001" x14ac:dyDescent="0.3">
      <c r="A1727" s="36"/>
      <c r="B1727" s="46"/>
      <c r="C1727" s="48" t="s">
        <v>187</v>
      </c>
      <c r="D1727" s="39" t="s">
        <v>128</v>
      </c>
      <c r="E1727" s="44">
        <f>(0.4*0.4*2.3)*2</f>
        <v>0.7360000000000001</v>
      </c>
      <c r="F1727" s="40">
        <v>1946000</v>
      </c>
      <c r="G1727" s="40">
        <f t="shared" si="26"/>
        <v>1432256.0000000002</v>
      </c>
      <c r="H1727" s="52"/>
    </row>
    <row r="1728" spans="1:771 1026:1795 2050:2819 3074:3843 4098:4867 5122:5891 6146:6915 7170:7939 8194:8963 9218:9987 10242:11011 11266:12035 12290:13059 13314:14083 14338:15107 15362:16131" s="35" customFormat="1" ht="18.600000000000001" x14ac:dyDescent="0.3">
      <c r="A1728" s="36"/>
      <c r="B1728" s="46"/>
      <c r="C1728" s="48" t="s">
        <v>115</v>
      </c>
      <c r="D1728" s="39" t="s">
        <v>13</v>
      </c>
      <c r="E1728" s="44">
        <f>9.3*2.3</f>
        <v>21.39</v>
      </c>
      <c r="F1728" s="40">
        <v>100000</v>
      </c>
      <c r="G1728" s="40">
        <f t="shared" si="26"/>
        <v>2139000</v>
      </c>
      <c r="H1728" s="52"/>
    </row>
    <row r="1729" spans="1:771 1026:1795 2050:2819 3074:3843 4098:4867 5122:5891 6146:6915 7170:7939 8194:8963 9218:9987 10242:11011 11266:12035 12290:13059 13314:14083 14338:15107 15362:16131" s="35" customFormat="1" ht="18.600000000000001" x14ac:dyDescent="0.3">
      <c r="A1729" s="36"/>
      <c r="B1729" s="46"/>
      <c r="C1729" s="48" t="s">
        <v>188</v>
      </c>
      <c r="D1729" s="39" t="s">
        <v>13</v>
      </c>
      <c r="E1729" s="44">
        <f>(0.4*2.3*8)</f>
        <v>7.3599999999999994</v>
      </c>
      <c r="F1729" s="40">
        <v>107000</v>
      </c>
      <c r="G1729" s="40">
        <f t="shared" si="26"/>
        <v>787519.99999999988</v>
      </c>
      <c r="H1729" s="52"/>
    </row>
    <row r="1730" spans="1:771 1026:1795 2050:2819 3074:3843 4098:4867 5122:5891 6146:6915 7170:7939 8194:8963 9218:9987 10242:11011 11266:12035 12290:13059 13314:14083 14338:15107 15362:16131" s="35" customFormat="1" x14ac:dyDescent="0.3">
      <c r="A1730" s="36"/>
      <c r="B1730" s="46"/>
      <c r="C1730" s="51" t="s">
        <v>20</v>
      </c>
      <c r="D1730" s="39"/>
      <c r="E1730" s="44"/>
      <c r="F1730" s="40"/>
      <c r="G1730" s="41">
        <f>SUM(G1731:G1732)</f>
        <v>240000</v>
      </c>
      <c r="H1730" s="52"/>
    </row>
    <row r="1731" spans="1:771 1026:1795 2050:2819 3074:3843 4098:4867 5122:5891 6146:6915 7170:7939 8194:8963 9218:9987 10242:11011 11266:12035 12290:13059 13314:14083 14338:15107 15362:16131" s="35" customFormat="1" x14ac:dyDescent="0.3">
      <c r="A1731" s="36"/>
      <c r="B1731" s="46"/>
      <c r="C1731" s="50" t="s">
        <v>1350</v>
      </c>
      <c r="D1731" s="39" t="s">
        <v>21</v>
      </c>
      <c r="E1731" s="44">
        <v>1</v>
      </c>
      <c r="F1731" s="40">
        <v>200000</v>
      </c>
      <c r="G1731" s="40">
        <f>E1731*F1731</f>
        <v>200000</v>
      </c>
      <c r="H1731" s="52"/>
    </row>
    <row r="1732" spans="1:771 1026:1795 2050:2819 3074:3843 4098:4867 5122:5891 6146:6915 7170:7939 8194:8963 9218:9987 10242:11011 11266:12035 12290:13059 13314:14083 14338:15107 15362:16131" s="35" customFormat="1" x14ac:dyDescent="0.3">
      <c r="A1732" s="36"/>
      <c r="B1732" s="46"/>
      <c r="C1732" s="50" t="s">
        <v>195</v>
      </c>
      <c r="D1732" s="76" t="s">
        <v>22</v>
      </c>
      <c r="E1732" s="44">
        <v>1</v>
      </c>
      <c r="F1732" s="40">
        <v>40000</v>
      </c>
      <c r="G1732" s="40">
        <f>E1732*F1732</f>
        <v>40000</v>
      </c>
      <c r="H1732" s="52"/>
    </row>
    <row r="1733" spans="1:771 1026:1795 2050:2819 3074:3843 4098:4867 5122:5891 6146:6915 7170:7939 8194:8963 9218:9987 10242:11011 11266:12035 12290:13059 13314:14083 14338:15107 15362:16131" s="35" customFormat="1" x14ac:dyDescent="0.3">
      <c r="A1733" s="36"/>
      <c r="B1733" s="46"/>
      <c r="C1733" s="51" t="s">
        <v>23</v>
      </c>
      <c r="D1733" s="39"/>
      <c r="E1733" s="1"/>
      <c r="F1733" s="2"/>
      <c r="G1733" s="41">
        <f>SUM(G1734)</f>
        <v>3060000</v>
      </c>
      <c r="H1733" s="52"/>
    </row>
    <row r="1734" spans="1:771 1026:1795 2050:2819 3074:3843 4098:4867 5122:5891 6146:6915 7170:7939 8194:8963 9218:9987 10242:11011 11266:12035 12290:13059 13314:14083 14338:15107 15362:16131" s="35" customFormat="1" x14ac:dyDescent="0.3">
      <c r="A1734" s="36"/>
      <c r="B1734" s="46"/>
      <c r="C1734" s="50" t="s">
        <v>24</v>
      </c>
      <c r="D1734" s="39" t="s">
        <v>25</v>
      </c>
      <c r="E1734" s="1">
        <f>1*30*6</f>
        <v>180</v>
      </c>
      <c r="F1734" s="2">
        <v>17000</v>
      </c>
      <c r="G1734" s="40">
        <f>E1734*F1734</f>
        <v>3060000</v>
      </c>
      <c r="H1734" s="42"/>
    </row>
    <row r="1735" spans="1:771 1026:1795 2050:2819 3074:3843 4098:4867 5122:5891 6146:6915 7170:7939 8194:8963 9218:9987 10242:11011 11266:12035 12290:13059 13314:14083 14338:15107 15362:16131" s="35" customFormat="1" ht="65.400000000000006" thickBot="1" x14ac:dyDescent="0.35">
      <c r="A1735" s="53"/>
      <c r="B1735" s="54"/>
      <c r="C1735" s="55" t="s">
        <v>2331</v>
      </c>
      <c r="D1735" s="56"/>
      <c r="E1735" s="5"/>
      <c r="F1735" s="6"/>
      <c r="G1735" s="57"/>
      <c r="H1735" s="58"/>
    </row>
    <row r="1736" spans="1:771 1026:1795 2050:2819 3074:3843 4098:4867 5122:5891 6146:6915 7170:7939 8194:8963 9218:9987 10242:11011 11266:12035 12290:13059 13314:14083 14338:15107 15362:16131" s="59" customFormat="1" ht="31.8" thickBot="1" x14ac:dyDescent="0.35">
      <c r="A1736" s="154"/>
      <c r="B1736" s="155" t="s">
        <v>26</v>
      </c>
      <c r="C1736" s="156"/>
      <c r="D1736" s="154"/>
      <c r="E1736" s="157"/>
      <c r="F1736" s="158"/>
      <c r="G1736" s="159">
        <f>SUM(G1718:G1735)/2</f>
        <v>406533676</v>
      </c>
      <c r="H1736" s="160"/>
      <c r="IX1736" s="35"/>
      <c r="IY1736" s="35"/>
      <c r="ST1736" s="35"/>
      <c r="SU1736" s="35"/>
      <c r="ACP1736" s="35"/>
      <c r="ACQ1736" s="35"/>
      <c r="AML1736" s="35"/>
      <c r="AMM1736" s="35"/>
      <c r="AWH1736" s="35"/>
      <c r="AWI1736" s="35"/>
      <c r="BGD1736" s="35"/>
      <c r="BGE1736" s="35"/>
      <c r="BPZ1736" s="35"/>
      <c r="BQA1736" s="35"/>
      <c r="BZV1736" s="35"/>
      <c r="BZW1736" s="35"/>
      <c r="CJR1736" s="35"/>
      <c r="CJS1736" s="35"/>
      <c r="CTN1736" s="35"/>
      <c r="CTO1736" s="35"/>
      <c r="DDJ1736" s="35"/>
      <c r="DDK1736" s="35"/>
      <c r="DNF1736" s="35"/>
      <c r="DNG1736" s="35"/>
      <c r="DXB1736" s="35"/>
      <c r="DXC1736" s="35"/>
      <c r="EGX1736" s="35"/>
      <c r="EGY1736" s="35"/>
      <c r="EQT1736" s="35"/>
      <c r="EQU1736" s="35"/>
      <c r="FAP1736" s="35"/>
      <c r="FAQ1736" s="35"/>
      <c r="FKL1736" s="35"/>
      <c r="FKM1736" s="35"/>
      <c r="FUH1736" s="35"/>
      <c r="FUI1736" s="35"/>
      <c r="GED1736" s="35"/>
      <c r="GEE1736" s="35"/>
      <c r="GNZ1736" s="35"/>
      <c r="GOA1736" s="35"/>
      <c r="GXV1736" s="35"/>
      <c r="GXW1736" s="35"/>
      <c r="HHR1736" s="35"/>
      <c r="HHS1736" s="35"/>
      <c r="HRN1736" s="35"/>
      <c r="HRO1736" s="35"/>
      <c r="IBJ1736" s="35"/>
      <c r="IBK1736" s="35"/>
      <c r="ILF1736" s="35"/>
      <c r="ILG1736" s="35"/>
      <c r="IVB1736" s="35"/>
      <c r="IVC1736" s="35"/>
      <c r="JEX1736" s="35"/>
      <c r="JEY1736" s="35"/>
      <c r="JOT1736" s="35"/>
      <c r="JOU1736" s="35"/>
      <c r="JYP1736" s="35"/>
      <c r="JYQ1736" s="35"/>
      <c r="KIL1736" s="35"/>
      <c r="KIM1736" s="35"/>
      <c r="KSH1736" s="35"/>
      <c r="KSI1736" s="35"/>
      <c r="LCD1736" s="35"/>
      <c r="LCE1736" s="35"/>
      <c r="LLZ1736" s="35"/>
      <c r="LMA1736" s="35"/>
      <c r="LVV1736" s="35"/>
      <c r="LVW1736" s="35"/>
      <c r="MFR1736" s="35"/>
      <c r="MFS1736" s="35"/>
      <c r="MPN1736" s="35"/>
      <c r="MPO1736" s="35"/>
      <c r="MZJ1736" s="35"/>
      <c r="MZK1736" s="35"/>
      <c r="NJF1736" s="35"/>
      <c r="NJG1736" s="35"/>
      <c r="NTB1736" s="35"/>
      <c r="NTC1736" s="35"/>
      <c r="OCX1736" s="35"/>
      <c r="OCY1736" s="35"/>
      <c r="OMT1736" s="35"/>
      <c r="OMU1736" s="35"/>
      <c r="OWP1736" s="35"/>
      <c r="OWQ1736" s="35"/>
      <c r="PGL1736" s="35"/>
      <c r="PGM1736" s="35"/>
      <c r="PQH1736" s="35"/>
      <c r="PQI1736" s="35"/>
      <c r="QAD1736" s="35"/>
      <c r="QAE1736" s="35"/>
      <c r="QJZ1736" s="35"/>
      <c r="QKA1736" s="35"/>
      <c r="QTV1736" s="35"/>
      <c r="QTW1736" s="35"/>
      <c r="RDR1736" s="35"/>
      <c r="RDS1736" s="35"/>
      <c r="RNN1736" s="35"/>
      <c r="RNO1736" s="35"/>
      <c r="RXJ1736" s="35"/>
      <c r="RXK1736" s="35"/>
      <c r="SHF1736" s="35"/>
      <c r="SHG1736" s="35"/>
      <c r="SRB1736" s="35"/>
      <c r="SRC1736" s="35"/>
      <c r="TAX1736" s="35"/>
      <c r="TAY1736" s="35"/>
      <c r="TKT1736" s="35"/>
      <c r="TKU1736" s="35"/>
      <c r="TUP1736" s="35"/>
      <c r="TUQ1736" s="35"/>
      <c r="UEL1736" s="35"/>
      <c r="UEM1736" s="35"/>
      <c r="UOH1736" s="35"/>
      <c r="UOI1736" s="35"/>
      <c r="UYD1736" s="35"/>
      <c r="UYE1736" s="35"/>
      <c r="VHZ1736" s="35"/>
      <c r="VIA1736" s="35"/>
      <c r="VRV1736" s="35"/>
      <c r="VRW1736" s="35"/>
      <c r="WBR1736" s="35"/>
      <c r="WBS1736" s="35"/>
      <c r="WLN1736" s="35"/>
      <c r="WLO1736" s="35"/>
      <c r="WVJ1736" s="35"/>
      <c r="WVK1736" s="35"/>
    </row>
    <row r="1737" spans="1:771 1026:1795 2050:2819 3074:3843 4098:4867 5122:5891 6146:6915 7170:7939 8194:8963 9218:9987 10242:11011 11266:12035 12290:13059 13314:14083 14338:15107 15362:16131" s="35" customFormat="1" ht="55.2" x14ac:dyDescent="0.3">
      <c r="A1737" s="28">
        <v>161</v>
      </c>
      <c r="B1737" s="29" t="s">
        <v>1351</v>
      </c>
      <c r="C1737" s="30" t="s">
        <v>2355</v>
      </c>
      <c r="D1737" s="31" t="s">
        <v>13</v>
      </c>
      <c r="E1737" s="32">
        <v>12</v>
      </c>
      <c r="F1737" s="33"/>
      <c r="G1737" s="33"/>
      <c r="H1737" s="34" t="s">
        <v>1352</v>
      </c>
    </row>
    <row r="1738" spans="1:771 1026:1795 2050:2819 3074:3843 4098:4867 5122:5891 6146:6915 7170:7939 8194:8963 9218:9987 10242:11011 11266:12035 12290:13059 13314:14083 14338:15107 15362:16131" s="35" customFormat="1" x14ac:dyDescent="0.3">
      <c r="A1738" s="36"/>
      <c r="B1738" s="37" t="s">
        <v>1353</v>
      </c>
      <c r="C1738" s="38" t="s">
        <v>14</v>
      </c>
      <c r="D1738" s="39"/>
      <c r="E1738" s="44"/>
      <c r="F1738" s="40"/>
      <c r="G1738" s="41">
        <f>SUM(G1739)</f>
        <v>233748000</v>
      </c>
      <c r="H1738" s="42"/>
    </row>
    <row r="1739" spans="1:771 1026:1795 2050:2819 3074:3843 4098:4867 5122:5891 6146:6915 7170:7939 8194:8963 9218:9987 10242:11011 11266:12035 12290:13059 13314:14083 14338:15107 15362:16131" s="35" customFormat="1" ht="18.600000000000001" x14ac:dyDescent="0.3">
      <c r="A1739" s="36"/>
      <c r="B1739" s="37" t="s">
        <v>1354</v>
      </c>
      <c r="C1739" s="48" t="s">
        <v>38</v>
      </c>
      <c r="D1739" s="39" t="s">
        <v>13</v>
      </c>
      <c r="E1739" s="44">
        <v>12</v>
      </c>
      <c r="F1739" s="161">
        <v>19479000</v>
      </c>
      <c r="G1739" s="40">
        <f>E1739*F1739</f>
        <v>233748000</v>
      </c>
      <c r="H1739" s="42"/>
    </row>
    <row r="1740" spans="1:771 1026:1795 2050:2819 3074:3843 4098:4867 5122:5891 6146:6915 7170:7939 8194:8963 9218:9987 10242:11011 11266:12035 12290:13059 13314:14083 14338:15107 15362:16131" s="35" customFormat="1" ht="62.4" x14ac:dyDescent="0.3">
      <c r="A1740" s="36"/>
      <c r="B1740" s="46" t="s">
        <v>1355</v>
      </c>
      <c r="C1740" s="47" t="s">
        <v>35</v>
      </c>
      <c r="D1740" s="39"/>
      <c r="E1740" s="44"/>
      <c r="F1740" s="40"/>
      <c r="G1740" s="41">
        <f>SUM(G1741)</f>
        <v>12931200</v>
      </c>
      <c r="H1740" s="45"/>
    </row>
    <row r="1741" spans="1:771 1026:1795 2050:2819 3074:3843 4098:4867 5122:5891 6146:6915 7170:7939 8194:8963 9218:9987 10242:11011 11266:12035 12290:13059 13314:14083 14338:15107 15362:16131" s="35" customFormat="1" ht="93.6" x14ac:dyDescent="0.3">
      <c r="A1741" s="36"/>
      <c r="B1741" s="50" t="s">
        <v>1356</v>
      </c>
      <c r="C1741" s="48" t="s">
        <v>1357</v>
      </c>
      <c r="D1741" s="39" t="s">
        <v>13</v>
      </c>
      <c r="E1741" s="44">
        <v>9</v>
      </c>
      <c r="F1741" s="40">
        <f>3592000*40%</f>
        <v>1436800</v>
      </c>
      <c r="G1741" s="40">
        <f>E1741*F1741</f>
        <v>12931200</v>
      </c>
      <c r="H1741" s="42" t="s">
        <v>2509</v>
      </c>
    </row>
    <row r="1742" spans="1:771 1026:1795 2050:2819 3074:3843 4098:4867 5122:5891 6146:6915 7170:7939 8194:8963 9218:9987 10242:11011 11266:12035 12290:13059 13314:14083 14338:15107 15362:16131" s="35" customFormat="1" ht="65.400000000000006" thickBot="1" x14ac:dyDescent="0.35">
      <c r="A1742" s="53"/>
      <c r="B1742" s="54"/>
      <c r="C1742" s="55" t="s">
        <v>2331</v>
      </c>
      <c r="D1742" s="56"/>
      <c r="E1742" s="5"/>
      <c r="F1742" s="6"/>
      <c r="G1742" s="57"/>
      <c r="H1742" s="58"/>
    </row>
    <row r="1743" spans="1:771 1026:1795 2050:2819 3074:3843 4098:4867 5122:5891 6146:6915 7170:7939 8194:8963 9218:9987 10242:11011 11266:12035 12290:13059 13314:14083 14338:15107 15362:16131" s="59" customFormat="1" ht="31.8" thickBot="1" x14ac:dyDescent="0.35">
      <c r="A1743" s="154"/>
      <c r="B1743" s="155" t="s">
        <v>26</v>
      </c>
      <c r="C1743" s="156"/>
      <c r="D1743" s="154"/>
      <c r="E1743" s="157"/>
      <c r="F1743" s="158"/>
      <c r="G1743" s="159">
        <f>SUM(G1737:G1742)/2</f>
        <v>246679200</v>
      </c>
      <c r="H1743" s="160"/>
      <c r="IX1743" s="35"/>
      <c r="IY1743" s="35"/>
      <c r="ST1743" s="35"/>
      <c r="SU1743" s="35"/>
      <c r="ACP1743" s="35"/>
      <c r="ACQ1743" s="35"/>
      <c r="AML1743" s="35"/>
      <c r="AMM1743" s="35"/>
      <c r="AWH1743" s="35"/>
      <c r="AWI1743" s="35"/>
      <c r="BGD1743" s="35"/>
      <c r="BGE1743" s="35"/>
      <c r="BPZ1743" s="35"/>
      <c r="BQA1743" s="35"/>
      <c r="BZV1743" s="35"/>
      <c r="BZW1743" s="35"/>
      <c r="CJR1743" s="35"/>
      <c r="CJS1743" s="35"/>
      <c r="CTN1743" s="35"/>
      <c r="CTO1743" s="35"/>
      <c r="DDJ1743" s="35"/>
      <c r="DDK1743" s="35"/>
      <c r="DNF1743" s="35"/>
      <c r="DNG1743" s="35"/>
      <c r="DXB1743" s="35"/>
      <c r="DXC1743" s="35"/>
      <c r="EGX1743" s="35"/>
      <c r="EGY1743" s="35"/>
      <c r="EQT1743" s="35"/>
      <c r="EQU1743" s="35"/>
      <c r="FAP1743" s="35"/>
      <c r="FAQ1743" s="35"/>
      <c r="FKL1743" s="35"/>
      <c r="FKM1743" s="35"/>
      <c r="FUH1743" s="35"/>
      <c r="FUI1743" s="35"/>
      <c r="GED1743" s="35"/>
      <c r="GEE1743" s="35"/>
      <c r="GNZ1743" s="35"/>
      <c r="GOA1743" s="35"/>
      <c r="GXV1743" s="35"/>
      <c r="GXW1743" s="35"/>
      <c r="HHR1743" s="35"/>
      <c r="HHS1743" s="35"/>
      <c r="HRN1743" s="35"/>
      <c r="HRO1743" s="35"/>
      <c r="IBJ1743" s="35"/>
      <c r="IBK1743" s="35"/>
      <c r="ILF1743" s="35"/>
      <c r="ILG1743" s="35"/>
      <c r="IVB1743" s="35"/>
      <c r="IVC1743" s="35"/>
      <c r="JEX1743" s="35"/>
      <c r="JEY1743" s="35"/>
      <c r="JOT1743" s="35"/>
      <c r="JOU1743" s="35"/>
      <c r="JYP1743" s="35"/>
      <c r="JYQ1743" s="35"/>
      <c r="KIL1743" s="35"/>
      <c r="KIM1743" s="35"/>
      <c r="KSH1743" s="35"/>
      <c r="KSI1743" s="35"/>
      <c r="LCD1743" s="35"/>
      <c r="LCE1743" s="35"/>
      <c r="LLZ1743" s="35"/>
      <c r="LMA1743" s="35"/>
      <c r="LVV1743" s="35"/>
      <c r="LVW1743" s="35"/>
      <c r="MFR1743" s="35"/>
      <c r="MFS1743" s="35"/>
      <c r="MPN1743" s="35"/>
      <c r="MPO1743" s="35"/>
      <c r="MZJ1743" s="35"/>
      <c r="MZK1743" s="35"/>
      <c r="NJF1743" s="35"/>
      <c r="NJG1743" s="35"/>
      <c r="NTB1743" s="35"/>
      <c r="NTC1743" s="35"/>
      <c r="OCX1743" s="35"/>
      <c r="OCY1743" s="35"/>
      <c r="OMT1743" s="35"/>
      <c r="OMU1743" s="35"/>
      <c r="OWP1743" s="35"/>
      <c r="OWQ1743" s="35"/>
      <c r="PGL1743" s="35"/>
      <c r="PGM1743" s="35"/>
      <c r="PQH1743" s="35"/>
      <c r="PQI1743" s="35"/>
      <c r="QAD1743" s="35"/>
      <c r="QAE1743" s="35"/>
      <c r="QJZ1743" s="35"/>
      <c r="QKA1743" s="35"/>
      <c r="QTV1743" s="35"/>
      <c r="QTW1743" s="35"/>
      <c r="RDR1743" s="35"/>
      <c r="RDS1743" s="35"/>
      <c r="RNN1743" s="35"/>
      <c r="RNO1743" s="35"/>
      <c r="RXJ1743" s="35"/>
      <c r="RXK1743" s="35"/>
      <c r="SHF1743" s="35"/>
      <c r="SHG1743" s="35"/>
      <c r="SRB1743" s="35"/>
      <c r="SRC1743" s="35"/>
      <c r="TAX1743" s="35"/>
      <c r="TAY1743" s="35"/>
      <c r="TKT1743" s="35"/>
      <c r="TKU1743" s="35"/>
      <c r="TUP1743" s="35"/>
      <c r="TUQ1743" s="35"/>
      <c r="UEL1743" s="35"/>
      <c r="UEM1743" s="35"/>
      <c r="UOH1743" s="35"/>
      <c r="UOI1743" s="35"/>
      <c r="UYD1743" s="35"/>
      <c r="UYE1743" s="35"/>
      <c r="VHZ1743" s="35"/>
      <c r="VIA1743" s="35"/>
      <c r="VRV1743" s="35"/>
      <c r="VRW1743" s="35"/>
      <c r="WBR1743" s="35"/>
      <c r="WBS1743" s="35"/>
      <c r="WLN1743" s="35"/>
      <c r="WLO1743" s="35"/>
      <c r="WVJ1743" s="35"/>
      <c r="WVK1743" s="35"/>
    </row>
    <row r="1744" spans="1:771 1026:1795 2050:2819 3074:3843 4098:4867 5122:5891 6146:6915 7170:7939 8194:8963 9218:9987 10242:11011 11266:12035 12290:13059 13314:14083 14338:15107 15362:16131" s="35" customFormat="1" ht="55.2" x14ac:dyDescent="0.3">
      <c r="A1744" s="28">
        <v>162</v>
      </c>
      <c r="B1744" s="29" t="s">
        <v>1358</v>
      </c>
      <c r="C1744" s="30" t="s">
        <v>2206</v>
      </c>
      <c r="D1744" s="31" t="s">
        <v>13</v>
      </c>
      <c r="E1744" s="32">
        <v>7.6</v>
      </c>
      <c r="F1744" s="33"/>
      <c r="G1744" s="33"/>
      <c r="H1744" s="34" t="s">
        <v>1359</v>
      </c>
    </row>
    <row r="1745" spans="1:771 1026:1795 2050:2819 3074:3843 4098:4867 5122:5891 6146:6915 7170:7939 8194:8963 9218:9987 10242:11011 11266:12035 12290:13059 13314:14083 14338:15107 15362:16131" s="35" customFormat="1" x14ac:dyDescent="0.3">
      <c r="A1745" s="36"/>
      <c r="B1745" s="37" t="s">
        <v>87</v>
      </c>
      <c r="C1745" s="38" t="s">
        <v>14</v>
      </c>
      <c r="D1745" s="39"/>
      <c r="E1745" s="44"/>
      <c r="F1745" s="40"/>
      <c r="G1745" s="41">
        <f>SUM(G1746)</f>
        <v>79070400</v>
      </c>
      <c r="H1745" s="42"/>
    </row>
    <row r="1746" spans="1:771 1026:1795 2050:2819 3074:3843 4098:4867 5122:5891 6146:6915 7170:7939 8194:8963 9218:9987 10242:11011 11266:12035 12290:13059 13314:14083 14338:15107 15362:16131" s="35" customFormat="1" ht="31.2" x14ac:dyDescent="0.3">
      <c r="A1746" s="36"/>
      <c r="B1746" s="37" t="s">
        <v>1360</v>
      </c>
      <c r="C1746" s="43" t="s">
        <v>55</v>
      </c>
      <c r="D1746" s="39" t="s">
        <v>13</v>
      </c>
      <c r="E1746" s="44">
        <v>7.6</v>
      </c>
      <c r="F1746" s="153">
        <v>10404000</v>
      </c>
      <c r="G1746" s="40">
        <f>E1746*F1746</f>
        <v>79070400</v>
      </c>
      <c r="H1746" s="42"/>
    </row>
    <row r="1747" spans="1:771 1026:1795 2050:2819 3074:3843 4098:4867 5122:5891 6146:6915 7170:7939 8194:8963 9218:9987 10242:11011 11266:12035 12290:13059 13314:14083 14338:15107 15362:16131" s="35" customFormat="1" ht="78" x14ac:dyDescent="0.3">
      <c r="A1747" s="36"/>
      <c r="B1747" s="46" t="s">
        <v>1361</v>
      </c>
      <c r="C1747" s="47" t="s">
        <v>35</v>
      </c>
      <c r="D1747" s="39"/>
      <c r="E1747" s="44"/>
      <c r="F1747" s="40"/>
      <c r="G1747" s="41">
        <f>SUM(G1748:G1749)</f>
        <v>240000</v>
      </c>
      <c r="H1747" s="45"/>
    </row>
    <row r="1748" spans="1:771 1026:1795 2050:2819 3074:3843 4098:4867 5122:5891 6146:6915 7170:7939 8194:8963 9218:9987 10242:11011 11266:12035 12290:13059 13314:14083 14338:15107 15362:16131" s="35" customFormat="1" ht="46.8" x14ac:dyDescent="0.3">
      <c r="A1748" s="36"/>
      <c r="B1748" s="50" t="s">
        <v>1362</v>
      </c>
      <c r="C1748" s="48" t="s">
        <v>1363</v>
      </c>
      <c r="D1748" s="39" t="s">
        <v>13</v>
      </c>
      <c r="E1748" s="44">
        <f>2.9*4</f>
        <v>11.6</v>
      </c>
      <c r="F1748" s="40"/>
      <c r="G1748" s="40">
        <f>E1748*F1748</f>
        <v>0</v>
      </c>
      <c r="H1748" s="35" t="s">
        <v>179</v>
      </c>
    </row>
    <row r="1749" spans="1:771 1026:1795 2050:2819 3074:3843 4098:4867 5122:5891 6146:6915 7170:7939 8194:8963 9218:9987 10242:11011 11266:12035 12290:13059 13314:14083 14338:15107 15362:16131" s="35" customFormat="1" x14ac:dyDescent="0.3">
      <c r="A1749" s="36"/>
      <c r="B1749" s="46"/>
      <c r="C1749" s="48" t="s">
        <v>1364</v>
      </c>
      <c r="D1749" s="39" t="s">
        <v>19</v>
      </c>
      <c r="E1749" s="44">
        <v>4</v>
      </c>
      <c r="F1749" s="40">
        <f>240000/4</f>
        <v>60000</v>
      </c>
      <c r="G1749" s="40">
        <f>E1749*F1749</f>
        <v>240000</v>
      </c>
      <c r="H1749" s="52"/>
    </row>
    <row r="1750" spans="1:771 1026:1795 2050:2819 3074:3843 4098:4867 5122:5891 6146:6915 7170:7939 8194:8963 9218:9987 10242:11011 11266:12035 12290:13059 13314:14083 14338:15107 15362:16131" s="35" customFormat="1" x14ac:dyDescent="0.3">
      <c r="A1750" s="36"/>
      <c r="B1750" s="46"/>
      <c r="C1750" s="51" t="s">
        <v>23</v>
      </c>
      <c r="D1750" s="39"/>
      <c r="E1750" s="1"/>
      <c r="F1750" s="2"/>
      <c r="G1750" s="41">
        <f>SUM(G1751)</f>
        <v>3060000</v>
      </c>
      <c r="H1750" s="52"/>
    </row>
    <row r="1751" spans="1:771 1026:1795 2050:2819 3074:3843 4098:4867 5122:5891 6146:6915 7170:7939 8194:8963 9218:9987 10242:11011 11266:12035 12290:13059 13314:14083 14338:15107 15362:16131" s="35" customFormat="1" x14ac:dyDescent="0.3">
      <c r="A1751" s="36"/>
      <c r="B1751" s="46"/>
      <c r="C1751" s="50" t="s">
        <v>24</v>
      </c>
      <c r="D1751" s="39" t="s">
        <v>25</v>
      </c>
      <c r="E1751" s="1">
        <f>1*30*6</f>
        <v>180</v>
      </c>
      <c r="F1751" s="2">
        <v>17000</v>
      </c>
      <c r="G1751" s="40">
        <f>E1751*F1751</f>
        <v>3060000</v>
      </c>
      <c r="H1751" s="42"/>
    </row>
    <row r="1752" spans="1:771 1026:1795 2050:2819 3074:3843 4098:4867 5122:5891 6146:6915 7170:7939 8194:8963 9218:9987 10242:11011 11266:12035 12290:13059 13314:14083 14338:15107 15362:16131" s="35" customFormat="1" ht="65.400000000000006" thickBot="1" x14ac:dyDescent="0.35">
      <c r="A1752" s="53"/>
      <c r="B1752" s="54"/>
      <c r="C1752" s="55" t="s">
        <v>2331</v>
      </c>
      <c r="D1752" s="56"/>
      <c r="E1752" s="5"/>
      <c r="F1752" s="6"/>
      <c r="G1752" s="57"/>
      <c r="H1752" s="58"/>
    </row>
    <row r="1753" spans="1:771 1026:1795 2050:2819 3074:3843 4098:4867 5122:5891 6146:6915 7170:7939 8194:8963 9218:9987 10242:11011 11266:12035 12290:13059 13314:14083 14338:15107 15362:16131" s="59" customFormat="1" ht="31.8" thickBot="1" x14ac:dyDescent="0.35">
      <c r="A1753" s="154"/>
      <c r="B1753" s="155" t="s">
        <v>26</v>
      </c>
      <c r="C1753" s="156"/>
      <c r="D1753" s="154"/>
      <c r="E1753" s="157"/>
      <c r="F1753" s="158"/>
      <c r="G1753" s="159">
        <f>SUM(G1744:G1752)/2</f>
        <v>82370400</v>
      </c>
      <c r="H1753" s="160"/>
      <c r="IX1753" s="35"/>
      <c r="IY1753" s="35"/>
      <c r="ST1753" s="35"/>
      <c r="SU1753" s="35"/>
      <c r="ACP1753" s="35"/>
      <c r="ACQ1753" s="35"/>
      <c r="AML1753" s="35"/>
      <c r="AMM1753" s="35"/>
      <c r="AWH1753" s="35"/>
      <c r="AWI1753" s="35"/>
      <c r="BGD1753" s="35"/>
      <c r="BGE1753" s="35"/>
      <c r="BPZ1753" s="35"/>
      <c r="BQA1753" s="35"/>
      <c r="BZV1753" s="35"/>
      <c r="BZW1753" s="35"/>
      <c r="CJR1753" s="35"/>
      <c r="CJS1753" s="35"/>
      <c r="CTN1753" s="35"/>
      <c r="CTO1753" s="35"/>
      <c r="DDJ1753" s="35"/>
      <c r="DDK1753" s="35"/>
      <c r="DNF1753" s="35"/>
      <c r="DNG1753" s="35"/>
      <c r="DXB1753" s="35"/>
      <c r="DXC1753" s="35"/>
      <c r="EGX1753" s="35"/>
      <c r="EGY1753" s="35"/>
      <c r="EQT1753" s="35"/>
      <c r="EQU1753" s="35"/>
      <c r="FAP1753" s="35"/>
      <c r="FAQ1753" s="35"/>
      <c r="FKL1753" s="35"/>
      <c r="FKM1753" s="35"/>
      <c r="FUH1753" s="35"/>
      <c r="FUI1753" s="35"/>
      <c r="GED1753" s="35"/>
      <c r="GEE1753" s="35"/>
      <c r="GNZ1753" s="35"/>
      <c r="GOA1753" s="35"/>
      <c r="GXV1753" s="35"/>
      <c r="GXW1753" s="35"/>
      <c r="HHR1753" s="35"/>
      <c r="HHS1753" s="35"/>
      <c r="HRN1753" s="35"/>
      <c r="HRO1753" s="35"/>
      <c r="IBJ1753" s="35"/>
      <c r="IBK1753" s="35"/>
      <c r="ILF1753" s="35"/>
      <c r="ILG1753" s="35"/>
      <c r="IVB1753" s="35"/>
      <c r="IVC1753" s="35"/>
      <c r="JEX1753" s="35"/>
      <c r="JEY1753" s="35"/>
      <c r="JOT1753" s="35"/>
      <c r="JOU1753" s="35"/>
      <c r="JYP1753" s="35"/>
      <c r="JYQ1753" s="35"/>
      <c r="KIL1753" s="35"/>
      <c r="KIM1753" s="35"/>
      <c r="KSH1753" s="35"/>
      <c r="KSI1753" s="35"/>
      <c r="LCD1753" s="35"/>
      <c r="LCE1753" s="35"/>
      <c r="LLZ1753" s="35"/>
      <c r="LMA1753" s="35"/>
      <c r="LVV1753" s="35"/>
      <c r="LVW1753" s="35"/>
      <c r="MFR1753" s="35"/>
      <c r="MFS1753" s="35"/>
      <c r="MPN1753" s="35"/>
      <c r="MPO1753" s="35"/>
      <c r="MZJ1753" s="35"/>
      <c r="MZK1753" s="35"/>
      <c r="NJF1753" s="35"/>
      <c r="NJG1753" s="35"/>
      <c r="NTB1753" s="35"/>
      <c r="NTC1753" s="35"/>
      <c r="OCX1753" s="35"/>
      <c r="OCY1753" s="35"/>
      <c r="OMT1753" s="35"/>
      <c r="OMU1753" s="35"/>
      <c r="OWP1753" s="35"/>
      <c r="OWQ1753" s="35"/>
      <c r="PGL1753" s="35"/>
      <c r="PGM1753" s="35"/>
      <c r="PQH1753" s="35"/>
      <c r="PQI1753" s="35"/>
      <c r="QAD1753" s="35"/>
      <c r="QAE1753" s="35"/>
      <c r="QJZ1753" s="35"/>
      <c r="QKA1753" s="35"/>
      <c r="QTV1753" s="35"/>
      <c r="QTW1753" s="35"/>
      <c r="RDR1753" s="35"/>
      <c r="RDS1753" s="35"/>
      <c r="RNN1753" s="35"/>
      <c r="RNO1753" s="35"/>
      <c r="RXJ1753" s="35"/>
      <c r="RXK1753" s="35"/>
      <c r="SHF1753" s="35"/>
      <c r="SHG1753" s="35"/>
      <c r="SRB1753" s="35"/>
      <c r="SRC1753" s="35"/>
      <c r="TAX1753" s="35"/>
      <c r="TAY1753" s="35"/>
      <c r="TKT1753" s="35"/>
      <c r="TKU1753" s="35"/>
      <c r="TUP1753" s="35"/>
      <c r="TUQ1753" s="35"/>
      <c r="UEL1753" s="35"/>
      <c r="UEM1753" s="35"/>
      <c r="UOH1753" s="35"/>
      <c r="UOI1753" s="35"/>
      <c r="UYD1753" s="35"/>
      <c r="UYE1753" s="35"/>
      <c r="VHZ1753" s="35"/>
      <c r="VIA1753" s="35"/>
      <c r="VRV1753" s="35"/>
      <c r="VRW1753" s="35"/>
      <c r="WBR1753" s="35"/>
      <c r="WBS1753" s="35"/>
      <c r="WLN1753" s="35"/>
      <c r="WLO1753" s="35"/>
      <c r="WVJ1753" s="35"/>
      <c r="WVK1753" s="35"/>
    </row>
    <row r="1754" spans="1:771 1026:1795 2050:2819 3074:3843 4098:4867 5122:5891 6146:6915 7170:7939 8194:8963 9218:9987 10242:11011 11266:12035 12290:13059 13314:14083 14338:15107 15362:16131" s="35" customFormat="1" ht="55.2" x14ac:dyDescent="0.3">
      <c r="A1754" s="28">
        <v>163</v>
      </c>
      <c r="B1754" s="29" t="s">
        <v>1365</v>
      </c>
      <c r="C1754" s="30" t="s">
        <v>2205</v>
      </c>
      <c r="D1754" s="31" t="s">
        <v>13</v>
      </c>
      <c r="E1754" s="32">
        <v>7.8</v>
      </c>
      <c r="F1754" s="33"/>
      <c r="G1754" s="33"/>
      <c r="H1754" s="34" t="s">
        <v>1366</v>
      </c>
    </row>
    <row r="1755" spans="1:771 1026:1795 2050:2819 3074:3843 4098:4867 5122:5891 6146:6915 7170:7939 8194:8963 9218:9987 10242:11011 11266:12035 12290:13059 13314:14083 14338:15107 15362:16131" s="35" customFormat="1" ht="27.6" x14ac:dyDescent="0.3">
      <c r="A1755" s="36"/>
      <c r="B1755" s="37" t="s">
        <v>1367</v>
      </c>
      <c r="C1755" s="38" t="s">
        <v>14</v>
      </c>
      <c r="D1755" s="162"/>
      <c r="E1755" s="44"/>
      <c r="F1755" s="40"/>
      <c r="G1755" s="41">
        <f>SUM(G1756)</f>
        <v>81151200</v>
      </c>
      <c r="H1755" s="42" t="s">
        <v>1368</v>
      </c>
    </row>
    <row r="1756" spans="1:771 1026:1795 2050:2819 3074:3843 4098:4867 5122:5891 6146:6915 7170:7939 8194:8963 9218:9987 10242:11011 11266:12035 12290:13059 13314:14083 14338:15107 15362:16131" s="35" customFormat="1" ht="31.2" x14ac:dyDescent="0.3">
      <c r="A1756" s="36"/>
      <c r="B1756" s="37" t="s">
        <v>1369</v>
      </c>
      <c r="C1756" s="43" t="s">
        <v>55</v>
      </c>
      <c r="D1756" s="39" t="s">
        <v>13</v>
      </c>
      <c r="E1756" s="44">
        <v>7.8</v>
      </c>
      <c r="F1756" s="153">
        <v>10404000</v>
      </c>
      <c r="G1756" s="40">
        <f>E1756*F1756</f>
        <v>81151200</v>
      </c>
      <c r="H1756" s="42"/>
    </row>
    <row r="1757" spans="1:771 1026:1795 2050:2819 3074:3843 4098:4867 5122:5891 6146:6915 7170:7939 8194:8963 9218:9987 10242:11011 11266:12035 12290:13059 13314:14083 14338:15107 15362:16131" s="35" customFormat="1" ht="78" x14ac:dyDescent="0.3">
      <c r="A1757" s="36"/>
      <c r="B1757" s="46" t="s">
        <v>1370</v>
      </c>
      <c r="C1757" s="47" t="s">
        <v>35</v>
      </c>
      <c r="D1757" s="39"/>
      <c r="E1757" s="44"/>
      <c r="F1757" s="40"/>
      <c r="G1757" s="41">
        <f>SUM(G1758)</f>
        <v>0</v>
      </c>
      <c r="H1757" s="45"/>
    </row>
    <row r="1758" spans="1:771 1026:1795 2050:2819 3074:3843 4098:4867 5122:5891 6146:6915 7170:7939 8194:8963 9218:9987 10242:11011 11266:12035 12290:13059 13314:14083 14338:15107 15362:16131" s="35" customFormat="1" ht="46.8" x14ac:dyDescent="0.3">
      <c r="A1758" s="36"/>
      <c r="B1758" s="50" t="s">
        <v>1371</v>
      </c>
      <c r="C1758" s="48" t="s">
        <v>1372</v>
      </c>
      <c r="D1758" s="39" t="s">
        <v>13</v>
      </c>
      <c r="E1758" s="44">
        <f>2.9*4</f>
        <v>11.6</v>
      </c>
      <c r="F1758" s="40"/>
      <c r="G1758" s="40">
        <f>E1758*F1758</f>
        <v>0</v>
      </c>
      <c r="H1758" s="35" t="s">
        <v>179</v>
      </c>
    </row>
    <row r="1759" spans="1:771 1026:1795 2050:2819 3074:3843 4098:4867 5122:5891 6146:6915 7170:7939 8194:8963 9218:9987 10242:11011 11266:12035 12290:13059 13314:14083 14338:15107 15362:16131" s="35" customFormat="1" x14ac:dyDescent="0.3">
      <c r="A1759" s="36"/>
      <c r="B1759" s="46"/>
      <c r="C1759" s="51" t="s">
        <v>23</v>
      </c>
      <c r="D1759" s="39"/>
      <c r="E1759" s="1"/>
      <c r="F1759" s="2"/>
      <c r="G1759" s="41">
        <f>SUM(G1760)</f>
        <v>3060000</v>
      </c>
      <c r="H1759" s="52"/>
    </row>
    <row r="1760" spans="1:771 1026:1795 2050:2819 3074:3843 4098:4867 5122:5891 6146:6915 7170:7939 8194:8963 9218:9987 10242:11011 11266:12035 12290:13059 13314:14083 14338:15107 15362:16131" s="35" customFormat="1" x14ac:dyDescent="0.3">
      <c r="A1760" s="36"/>
      <c r="B1760" s="46"/>
      <c r="C1760" s="50" t="s">
        <v>24</v>
      </c>
      <c r="D1760" s="39" t="s">
        <v>25</v>
      </c>
      <c r="E1760" s="1">
        <f>1*30*6</f>
        <v>180</v>
      </c>
      <c r="F1760" s="2">
        <v>17000</v>
      </c>
      <c r="G1760" s="40">
        <f>E1760*F1760</f>
        <v>3060000</v>
      </c>
      <c r="H1760" s="42"/>
    </row>
    <row r="1761" spans="1:771 1026:1795 2050:2819 3074:3843 4098:4867 5122:5891 6146:6915 7170:7939 8194:8963 9218:9987 10242:11011 11266:12035 12290:13059 13314:14083 14338:15107 15362:16131" s="35" customFormat="1" ht="65.400000000000006" thickBot="1" x14ac:dyDescent="0.35">
      <c r="A1761" s="53"/>
      <c r="B1761" s="54"/>
      <c r="C1761" s="55" t="s">
        <v>2331</v>
      </c>
      <c r="D1761" s="56"/>
      <c r="E1761" s="5"/>
      <c r="F1761" s="6"/>
      <c r="G1761" s="57"/>
      <c r="H1761" s="58"/>
    </row>
    <row r="1762" spans="1:771 1026:1795 2050:2819 3074:3843 4098:4867 5122:5891 6146:6915 7170:7939 8194:8963 9218:9987 10242:11011 11266:12035 12290:13059 13314:14083 14338:15107 15362:16131" s="59" customFormat="1" ht="31.8" thickBot="1" x14ac:dyDescent="0.35">
      <c r="A1762" s="154"/>
      <c r="B1762" s="155" t="s">
        <v>26</v>
      </c>
      <c r="C1762" s="156"/>
      <c r="D1762" s="154"/>
      <c r="E1762" s="157"/>
      <c r="F1762" s="158"/>
      <c r="G1762" s="159">
        <f>SUM(G1754:G1761)/2</f>
        <v>84211200</v>
      </c>
      <c r="H1762" s="160"/>
      <c r="IX1762" s="35"/>
      <c r="IY1762" s="35"/>
      <c r="ST1762" s="35"/>
      <c r="SU1762" s="35"/>
      <c r="ACP1762" s="35"/>
      <c r="ACQ1762" s="35"/>
      <c r="AML1762" s="35"/>
      <c r="AMM1762" s="35"/>
      <c r="AWH1762" s="35"/>
      <c r="AWI1762" s="35"/>
      <c r="BGD1762" s="35"/>
      <c r="BGE1762" s="35"/>
      <c r="BPZ1762" s="35"/>
      <c r="BQA1762" s="35"/>
      <c r="BZV1762" s="35"/>
      <c r="BZW1762" s="35"/>
      <c r="CJR1762" s="35"/>
      <c r="CJS1762" s="35"/>
      <c r="CTN1762" s="35"/>
      <c r="CTO1762" s="35"/>
      <c r="DDJ1762" s="35"/>
      <c r="DDK1762" s="35"/>
      <c r="DNF1762" s="35"/>
      <c r="DNG1762" s="35"/>
      <c r="DXB1762" s="35"/>
      <c r="DXC1762" s="35"/>
      <c r="EGX1762" s="35"/>
      <c r="EGY1762" s="35"/>
      <c r="EQT1762" s="35"/>
      <c r="EQU1762" s="35"/>
      <c r="FAP1762" s="35"/>
      <c r="FAQ1762" s="35"/>
      <c r="FKL1762" s="35"/>
      <c r="FKM1762" s="35"/>
      <c r="FUH1762" s="35"/>
      <c r="FUI1762" s="35"/>
      <c r="GED1762" s="35"/>
      <c r="GEE1762" s="35"/>
      <c r="GNZ1762" s="35"/>
      <c r="GOA1762" s="35"/>
      <c r="GXV1762" s="35"/>
      <c r="GXW1762" s="35"/>
      <c r="HHR1762" s="35"/>
      <c r="HHS1762" s="35"/>
      <c r="HRN1762" s="35"/>
      <c r="HRO1762" s="35"/>
      <c r="IBJ1762" s="35"/>
      <c r="IBK1762" s="35"/>
      <c r="ILF1762" s="35"/>
      <c r="ILG1762" s="35"/>
      <c r="IVB1762" s="35"/>
      <c r="IVC1762" s="35"/>
      <c r="JEX1762" s="35"/>
      <c r="JEY1762" s="35"/>
      <c r="JOT1762" s="35"/>
      <c r="JOU1762" s="35"/>
      <c r="JYP1762" s="35"/>
      <c r="JYQ1762" s="35"/>
      <c r="KIL1762" s="35"/>
      <c r="KIM1762" s="35"/>
      <c r="KSH1762" s="35"/>
      <c r="KSI1762" s="35"/>
      <c r="LCD1762" s="35"/>
      <c r="LCE1762" s="35"/>
      <c r="LLZ1762" s="35"/>
      <c r="LMA1762" s="35"/>
      <c r="LVV1762" s="35"/>
      <c r="LVW1762" s="35"/>
      <c r="MFR1762" s="35"/>
      <c r="MFS1762" s="35"/>
      <c r="MPN1762" s="35"/>
      <c r="MPO1762" s="35"/>
      <c r="MZJ1762" s="35"/>
      <c r="MZK1762" s="35"/>
      <c r="NJF1762" s="35"/>
      <c r="NJG1762" s="35"/>
      <c r="NTB1762" s="35"/>
      <c r="NTC1762" s="35"/>
      <c r="OCX1762" s="35"/>
      <c r="OCY1762" s="35"/>
      <c r="OMT1762" s="35"/>
      <c r="OMU1762" s="35"/>
      <c r="OWP1762" s="35"/>
      <c r="OWQ1762" s="35"/>
      <c r="PGL1762" s="35"/>
      <c r="PGM1762" s="35"/>
      <c r="PQH1762" s="35"/>
      <c r="PQI1762" s="35"/>
      <c r="QAD1762" s="35"/>
      <c r="QAE1762" s="35"/>
      <c r="QJZ1762" s="35"/>
      <c r="QKA1762" s="35"/>
      <c r="QTV1762" s="35"/>
      <c r="QTW1762" s="35"/>
      <c r="RDR1762" s="35"/>
      <c r="RDS1762" s="35"/>
      <c r="RNN1762" s="35"/>
      <c r="RNO1762" s="35"/>
      <c r="RXJ1762" s="35"/>
      <c r="RXK1762" s="35"/>
      <c r="SHF1762" s="35"/>
      <c r="SHG1762" s="35"/>
      <c r="SRB1762" s="35"/>
      <c r="SRC1762" s="35"/>
      <c r="TAX1762" s="35"/>
      <c r="TAY1762" s="35"/>
      <c r="TKT1762" s="35"/>
      <c r="TKU1762" s="35"/>
      <c r="TUP1762" s="35"/>
      <c r="TUQ1762" s="35"/>
      <c r="UEL1762" s="35"/>
      <c r="UEM1762" s="35"/>
      <c r="UOH1762" s="35"/>
      <c r="UOI1762" s="35"/>
      <c r="UYD1762" s="35"/>
      <c r="UYE1762" s="35"/>
      <c r="VHZ1762" s="35"/>
      <c r="VIA1762" s="35"/>
      <c r="VRV1762" s="35"/>
      <c r="VRW1762" s="35"/>
      <c r="WBR1762" s="35"/>
      <c r="WBS1762" s="35"/>
      <c r="WLN1762" s="35"/>
      <c r="WLO1762" s="35"/>
      <c r="WVJ1762" s="35"/>
      <c r="WVK1762" s="35"/>
    </row>
    <row r="1763" spans="1:771 1026:1795 2050:2819 3074:3843 4098:4867 5122:5891 6146:6915 7170:7939 8194:8963 9218:9987 10242:11011 11266:12035 12290:13059 13314:14083 14338:15107 15362:16131" s="35" customFormat="1" ht="82.8" x14ac:dyDescent="0.3">
      <c r="A1763" s="28">
        <v>164</v>
      </c>
      <c r="B1763" s="29" t="s">
        <v>1376</v>
      </c>
      <c r="C1763" s="30" t="s">
        <v>2202</v>
      </c>
      <c r="D1763" s="31" t="s">
        <v>13</v>
      </c>
      <c r="E1763" s="32">
        <f>7.9+18</f>
        <v>25.9</v>
      </c>
      <c r="F1763" s="33"/>
      <c r="G1763" s="33"/>
      <c r="H1763" s="34" t="s">
        <v>1377</v>
      </c>
    </row>
    <row r="1764" spans="1:771 1026:1795 2050:2819 3074:3843 4098:4867 5122:5891 6146:6915 7170:7939 8194:8963 9218:9987 10242:11011 11266:12035 12290:13059 13314:14083 14338:15107 15362:16131" s="35" customFormat="1" x14ac:dyDescent="0.3">
      <c r="A1764" s="36"/>
      <c r="B1764" s="37" t="s">
        <v>1346</v>
      </c>
      <c r="C1764" s="38" t="s">
        <v>14</v>
      </c>
      <c r="D1764" s="162"/>
      <c r="E1764" s="44"/>
      <c r="F1764" s="40"/>
      <c r="G1764" s="41">
        <f>SUM(G1765:G1766)</f>
        <v>432813600</v>
      </c>
      <c r="H1764" s="42"/>
    </row>
    <row r="1765" spans="1:771 1026:1795 2050:2819 3074:3843 4098:4867 5122:5891 6146:6915 7170:7939 8194:8963 9218:9987 10242:11011 11266:12035 12290:13059 13314:14083 14338:15107 15362:16131" s="35" customFormat="1" ht="18.600000000000001" x14ac:dyDescent="0.3">
      <c r="A1765" s="36"/>
      <c r="B1765" s="37"/>
      <c r="C1765" s="48" t="s">
        <v>38</v>
      </c>
      <c r="D1765" s="39" t="s">
        <v>13</v>
      </c>
      <c r="E1765" s="44">
        <v>18</v>
      </c>
      <c r="F1765" s="161">
        <v>19479000</v>
      </c>
      <c r="G1765" s="40">
        <f>E1765*F1765</f>
        <v>350622000</v>
      </c>
      <c r="H1765" s="42" t="s">
        <v>2203</v>
      </c>
    </row>
    <row r="1766" spans="1:771 1026:1795 2050:2819 3074:3843 4098:4867 5122:5891 6146:6915 7170:7939 8194:8963 9218:9987 10242:11011 11266:12035 12290:13059 13314:14083 14338:15107 15362:16131" s="35" customFormat="1" ht="31.2" x14ac:dyDescent="0.3">
      <c r="A1766" s="36"/>
      <c r="B1766" s="37" t="s">
        <v>1373</v>
      </c>
      <c r="C1766" s="43" t="s">
        <v>55</v>
      </c>
      <c r="D1766" s="39" t="s">
        <v>13</v>
      </c>
      <c r="E1766" s="44">
        <v>7.9</v>
      </c>
      <c r="F1766" s="153">
        <v>10404000</v>
      </c>
      <c r="G1766" s="40">
        <f>E1766*F1766</f>
        <v>82191600</v>
      </c>
      <c r="H1766" s="42" t="s">
        <v>2204</v>
      </c>
    </row>
    <row r="1767" spans="1:771 1026:1795 2050:2819 3074:3843 4098:4867 5122:5891 6146:6915 7170:7939 8194:8963 9218:9987 10242:11011 11266:12035 12290:13059 13314:14083 14338:15107 15362:16131" s="35" customFormat="1" ht="78" x14ac:dyDescent="0.3">
      <c r="A1767" s="36"/>
      <c r="B1767" s="46" t="s">
        <v>1374</v>
      </c>
      <c r="C1767" s="47" t="s">
        <v>35</v>
      </c>
      <c r="D1767" s="39"/>
      <c r="E1767" s="44"/>
      <c r="F1767" s="40"/>
      <c r="G1767" s="41">
        <f>SUM(G1768:G1770)</f>
        <v>3534280.0000000009</v>
      </c>
      <c r="H1767" s="45"/>
    </row>
    <row r="1768" spans="1:771 1026:1795 2050:2819 3074:3843 4098:4867 5122:5891 6146:6915 7170:7939 8194:8963 9218:9987 10242:11011 11266:12035 12290:13059 13314:14083 14338:15107 15362:16131" s="35" customFormat="1" ht="18.600000000000001" x14ac:dyDescent="0.3">
      <c r="A1768" s="36"/>
      <c r="B1768" s="50" t="s">
        <v>1375</v>
      </c>
      <c r="C1768" s="48" t="s">
        <v>305</v>
      </c>
      <c r="D1768" s="39" t="s">
        <v>13</v>
      </c>
      <c r="E1768" s="44">
        <f>2.1*9.14</f>
        <v>19.194000000000003</v>
      </c>
      <c r="F1768" s="40">
        <v>140000</v>
      </c>
      <c r="G1768" s="40">
        <f>E1768*F1768</f>
        <v>2687160.0000000005</v>
      </c>
      <c r="H1768" s="52"/>
    </row>
    <row r="1769" spans="1:771 1026:1795 2050:2819 3074:3843 4098:4867 5122:5891 6146:6915 7170:7939 8194:8963 9218:9987 10242:11011 11266:12035 12290:13059 13314:14083 14338:15107 15362:16131" s="35" customFormat="1" ht="18.600000000000001" x14ac:dyDescent="0.3">
      <c r="A1769" s="36"/>
      <c r="B1769" s="50"/>
      <c r="C1769" s="48" t="s">
        <v>189</v>
      </c>
      <c r="D1769" s="39" t="s">
        <v>104</v>
      </c>
      <c r="E1769" s="44">
        <f>(1.6*1.1*0.2)+(1*0.8*0.2)+(1.2*0.2*0.2)</f>
        <v>0.56000000000000016</v>
      </c>
      <c r="F1769" s="40">
        <v>1421000</v>
      </c>
      <c r="G1769" s="40">
        <f>E1769*F1769</f>
        <v>795760.00000000023</v>
      </c>
      <c r="H1769" s="52"/>
    </row>
    <row r="1770" spans="1:771 1026:1795 2050:2819 3074:3843 4098:4867 5122:5891 6146:6915 7170:7939 8194:8963 9218:9987 10242:11011 11266:12035 12290:13059 13314:14083 14338:15107 15362:16131" s="35" customFormat="1" ht="18.600000000000001" x14ac:dyDescent="0.3">
      <c r="A1770" s="36"/>
      <c r="B1770" s="50"/>
      <c r="C1770" s="48" t="s">
        <v>190</v>
      </c>
      <c r="D1770" s="39" t="s">
        <v>13</v>
      </c>
      <c r="E1770" s="44">
        <f>0.2*1.2*2</f>
        <v>0.48</v>
      </c>
      <c r="F1770" s="40">
        <v>107000</v>
      </c>
      <c r="G1770" s="40">
        <f>E1770*F1770</f>
        <v>51360</v>
      </c>
      <c r="H1770" s="52"/>
    </row>
    <row r="1771" spans="1:771 1026:1795 2050:2819 3074:3843 4098:4867 5122:5891 6146:6915 7170:7939 8194:8963 9218:9987 10242:11011 11266:12035 12290:13059 13314:14083 14338:15107 15362:16131" s="35" customFormat="1" x14ac:dyDescent="0.3">
      <c r="A1771" s="36"/>
      <c r="B1771" s="46"/>
      <c r="C1771" s="51" t="s">
        <v>20</v>
      </c>
      <c r="D1771" s="39"/>
      <c r="E1771" s="44"/>
      <c r="F1771" s="40"/>
      <c r="G1771" s="41">
        <f>SUM(G1772)</f>
        <v>100000</v>
      </c>
      <c r="H1771" s="52"/>
    </row>
    <row r="1772" spans="1:771 1026:1795 2050:2819 3074:3843 4098:4867 5122:5891 6146:6915 7170:7939 8194:8963 9218:9987 10242:11011 11266:12035 12290:13059 13314:14083 14338:15107 15362:16131" s="35" customFormat="1" x14ac:dyDescent="0.3">
      <c r="A1772" s="36"/>
      <c r="B1772" s="46"/>
      <c r="C1772" s="50" t="s">
        <v>1383</v>
      </c>
      <c r="D1772" s="39" t="s">
        <v>21</v>
      </c>
      <c r="E1772" s="44">
        <v>1</v>
      </c>
      <c r="F1772" s="40">
        <v>100000</v>
      </c>
      <c r="G1772" s="40">
        <f>E1772*F1772</f>
        <v>100000</v>
      </c>
      <c r="H1772" s="52"/>
    </row>
    <row r="1773" spans="1:771 1026:1795 2050:2819 3074:3843 4098:4867 5122:5891 6146:6915 7170:7939 8194:8963 9218:9987 10242:11011 11266:12035 12290:13059 13314:14083 14338:15107 15362:16131" s="35" customFormat="1" x14ac:dyDescent="0.3">
      <c r="A1773" s="36"/>
      <c r="B1773" s="46"/>
      <c r="C1773" s="51" t="s">
        <v>23</v>
      </c>
      <c r="D1773" s="39"/>
      <c r="E1773" s="1"/>
      <c r="F1773" s="2"/>
      <c r="G1773" s="41">
        <f>SUM(G1774)</f>
        <v>6120000</v>
      </c>
      <c r="H1773" s="52"/>
    </row>
    <row r="1774" spans="1:771 1026:1795 2050:2819 3074:3843 4098:4867 5122:5891 6146:6915 7170:7939 8194:8963 9218:9987 10242:11011 11266:12035 12290:13059 13314:14083 14338:15107 15362:16131" s="35" customFormat="1" x14ac:dyDescent="0.3">
      <c r="A1774" s="36"/>
      <c r="B1774" s="46"/>
      <c r="C1774" s="50" t="s">
        <v>24</v>
      </c>
      <c r="D1774" s="39" t="s">
        <v>25</v>
      </c>
      <c r="E1774" s="1">
        <f>2*30*6</f>
        <v>360</v>
      </c>
      <c r="F1774" s="2">
        <v>17000</v>
      </c>
      <c r="G1774" s="40">
        <f>E1774*F1774</f>
        <v>6120000</v>
      </c>
      <c r="H1774" s="42"/>
    </row>
    <row r="1775" spans="1:771 1026:1795 2050:2819 3074:3843 4098:4867 5122:5891 6146:6915 7170:7939 8194:8963 9218:9987 10242:11011 11266:12035 12290:13059 13314:14083 14338:15107 15362:16131" s="35" customFormat="1" ht="65.400000000000006" thickBot="1" x14ac:dyDescent="0.35">
      <c r="A1775" s="53"/>
      <c r="B1775" s="54"/>
      <c r="C1775" s="55" t="s">
        <v>2331</v>
      </c>
      <c r="D1775" s="56"/>
      <c r="E1775" s="5"/>
      <c r="F1775" s="6"/>
      <c r="G1775" s="57"/>
      <c r="H1775" s="58"/>
    </row>
    <row r="1776" spans="1:771 1026:1795 2050:2819 3074:3843 4098:4867 5122:5891 6146:6915 7170:7939 8194:8963 9218:9987 10242:11011 11266:12035 12290:13059 13314:14083 14338:15107 15362:16131" s="59" customFormat="1" ht="31.8" thickBot="1" x14ac:dyDescent="0.35">
      <c r="A1776" s="154"/>
      <c r="B1776" s="155" t="s">
        <v>26</v>
      </c>
      <c r="C1776" s="156"/>
      <c r="D1776" s="154"/>
      <c r="E1776" s="157"/>
      <c r="F1776" s="158"/>
      <c r="G1776" s="159">
        <f>SUM(G1763:G1775)/2</f>
        <v>442567880</v>
      </c>
      <c r="H1776" s="160"/>
      <c r="IX1776" s="35"/>
      <c r="IY1776" s="35"/>
      <c r="ST1776" s="35"/>
      <c r="SU1776" s="35"/>
      <c r="ACP1776" s="35"/>
      <c r="ACQ1776" s="35"/>
      <c r="AML1776" s="35"/>
      <c r="AMM1776" s="35"/>
      <c r="AWH1776" s="35"/>
      <c r="AWI1776" s="35"/>
      <c r="BGD1776" s="35"/>
      <c r="BGE1776" s="35"/>
      <c r="BPZ1776" s="35"/>
      <c r="BQA1776" s="35"/>
      <c r="BZV1776" s="35"/>
      <c r="BZW1776" s="35"/>
      <c r="CJR1776" s="35"/>
      <c r="CJS1776" s="35"/>
      <c r="CTN1776" s="35"/>
      <c r="CTO1776" s="35"/>
      <c r="DDJ1776" s="35"/>
      <c r="DDK1776" s="35"/>
      <c r="DNF1776" s="35"/>
      <c r="DNG1776" s="35"/>
      <c r="DXB1776" s="35"/>
      <c r="DXC1776" s="35"/>
      <c r="EGX1776" s="35"/>
      <c r="EGY1776" s="35"/>
      <c r="EQT1776" s="35"/>
      <c r="EQU1776" s="35"/>
      <c r="FAP1776" s="35"/>
      <c r="FAQ1776" s="35"/>
      <c r="FKL1776" s="35"/>
      <c r="FKM1776" s="35"/>
      <c r="FUH1776" s="35"/>
      <c r="FUI1776" s="35"/>
      <c r="GED1776" s="35"/>
      <c r="GEE1776" s="35"/>
      <c r="GNZ1776" s="35"/>
      <c r="GOA1776" s="35"/>
      <c r="GXV1776" s="35"/>
      <c r="GXW1776" s="35"/>
      <c r="HHR1776" s="35"/>
      <c r="HHS1776" s="35"/>
      <c r="HRN1776" s="35"/>
      <c r="HRO1776" s="35"/>
      <c r="IBJ1776" s="35"/>
      <c r="IBK1776" s="35"/>
      <c r="ILF1776" s="35"/>
      <c r="ILG1776" s="35"/>
      <c r="IVB1776" s="35"/>
      <c r="IVC1776" s="35"/>
      <c r="JEX1776" s="35"/>
      <c r="JEY1776" s="35"/>
      <c r="JOT1776" s="35"/>
      <c r="JOU1776" s="35"/>
      <c r="JYP1776" s="35"/>
      <c r="JYQ1776" s="35"/>
      <c r="KIL1776" s="35"/>
      <c r="KIM1776" s="35"/>
      <c r="KSH1776" s="35"/>
      <c r="KSI1776" s="35"/>
      <c r="LCD1776" s="35"/>
      <c r="LCE1776" s="35"/>
      <c r="LLZ1776" s="35"/>
      <c r="LMA1776" s="35"/>
      <c r="LVV1776" s="35"/>
      <c r="LVW1776" s="35"/>
      <c r="MFR1776" s="35"/>
      <c r="MFS1776" s="35"/>
      <c r="MPN1776" s="35"/>
      <c r="MPO1776" s="35"/>
      <c r="MZJ1776" s="35"/>
      <c r="MZK1776" s="35"/>
      <c r="NJF1776" s="35"/>
      <c r="NJG1776" s="35"/>
      <c r="NTB1776" s="35"/>
      <c r="NTC1776" s="35"/>
      <c r="OCX1776" s="35"/>
      <c r="OCY1776" s="35"/>
      <c r="OMT1776" s="35"/>
      <c r="OMU1776" s="35"/>
      <c r="OWP1776" s="35"/>
      <c r="OWQ1776" s="35"/>
      <c r="PGL1776" s="35"/>
      <c r="PGM1776" s="35"/>
      <c r="PQH1776" s="35"/>
      <c r="PQI1776" s="35"/>
      <c r="QAD1776" s="35"/>
      <c r="QAE1776" s="35"/>
      <c r="QJZ1776" s="35"/>
      <c r="QKA1776" s="35"/>
      <c r="QTV1776" s="35"/>
      <c r="QTW1776" s="35"/>
      <c r="RDR1776" s="35"/>
      <c r="RDS1776" s="35"/>
      <c r="RNN1776" s="35"/>
      <c r="RNO1776" s="35"/>
      <c r="RXJ1776" s="35"/>
      <c r="RXK1776" s="35"/>
      <c r="SHF1776" s="35"/>
      <c r="SHG1776" s="35"/>
      <c r="SRB1776" s="35"/>
      <c r="SRC1776" s="35"/>
      <c r="TAX1776" s="35"/>
      <c r="TAY1776" s="35"/>
      <c r="TKT1776" s="35"/>
      <c r="TKU1776" s="35"/>
      <c r="TUP1776" s="35"/>
      <c r="TUQ1776" s="35"/>
      <c r="UEL1776" s="35"/>
      <c r="UEM1776" s="35"/>
      <c r="UOH1776" s="35"/>
      <c r="UOI1776" s="35"/>
      <c r="UYD1776" s="35"/>
      <c r="UYE1776" s="35"/>
      <c r="VHZ1776" s="35"/>
      <c r="VIA1776" s="35"/>
      <c r="VRV1776" s="35"/>
      <c r="VRW1776" s="35"/>
      <c r="WBR1776" s="35"/>
      <c r="WBS1776" s="35"/>
      <c r="WLN1776" s="35"/>
      <c r="WLO1776" s="35"/>
      <c r="WVJ1776" s="35"/>
      <c r="WVK1776" s="35"/>
    </row>
    <row r="1777" spans="1:771 1026:1795 2050:2819 3074:3843 4098:4867 5122:5891 6146:6915 7170:7939 8194:8963 9218:9987 10242:11011 11266:12035 12290:13059 13314:14083 14338:15107 15362:16131" s="35" customFormat="1" ht="55.2" x14ac:dyDescent="0.3">
      <c r="A1777" s="28">
        <v>165</v>
      </c>
      <c r="B1777" s="29" t="s">
        <v>1378</v>
      </c>
      <c r="C1777" s="30" t="s">
        <v>1381</v>
      </c>
      <c r="D1777" s="31" t="s">
        <v>13</v>
      </c>
      <c r="E1777" s="32">
        <v>0.1</v>
      </c>
      <c r="F1777" s="33"/>
      <c r="G1777" s="33"/>
      <c r="H1777" s="34" t="s">
        <v>1382</v>
      </c>
    </row>
    <row r="1778" spans="1:771 1026:1795 2050:2819 3074:3843 4098:4867 5122:5891 6146:6915 7170:7939 8194:8963 9218:9987 10242:11011 11266:12035 12290:13059 13314:14083 14338:15107 15362:16131" s="35" customFormat="1" x14ac:dyDescent="0.3">
      <c r="A1778" s="36"/>
      <c r="B1778" s="37" t="s">
        <v>1346</v>
      </c>
      <c r="C1778" s="38" t="s">
        <v>14</v>
      </c>
      <c r="D1778" s="162"/>
      <c r="E1778" s="44"/>
      <c r="F1778" s="40"/>
      <c r="G1778" s="41">
        <f>SUM(G1779)</f>
        <v>1040400</v>
      </c>
      <c r="H1778" s="42"/>
    </row>
    <row r="1779" spans="1:771 1026:1795 2050:2819 3074:3843 4098:4867 5122:5891 6146:6915 7170:7939 8194:8963 9218:9987 10242:11011 11266:12035 12290:13059 13314:14083 14338:15107 15362:16131" s="35" customFormat="1" ht="31.2" x14ac:dyDescent="0.3">
      <c r="A1779" s="36"/>
      <c r="B1779" s="37" t="s">
        <v>1373</v>
      </c>
      <c r="C1779" s="43" t="s">
        <v>55</v>
      </c>
      <c r="D1779" s="39" t="s">
        <v>13</v>
      </c>
      <c r="E1779" s="44">
        <v>0.1</v>
      </c>
      <c r="F1779" s="153">
        <v>10404000</v>
      </c>
      <c r="G1779" s="40">
        <f>E1779*F1779</f>
        <v>1040400</v>
      </c>
      <c r="H1779" s="42"/>
    </row>
    <row r="1780" spans="1:771 1026:1795 2050:2819 3074:3843 4098:4867 5122:5891 6146:6915 7170:7939 8194:8963 9218:9987 10242:11011 11266:12035 12290:13059 13314:14083 14338:15107 15362:16131" s="35" customFormat="1" ht="78" x14ac:dyDescent="0.3">
      <c r="A1780" s="36"/>
      <c r="B1780" s="46" t="s">
        <v>1379</v>
      </c>
      <c r="C1780" s="47" t="s">
        <v>35</v>
      </c>
      <c r="D1780" s="39"/>
      <c r="E1780" s="44"/>
      <c r="F1780" s="40"/>
      <c r="G1780" s="41">
        <f>SUM(G1781)</f>
        <v>0</v>
      </c>
      <c r="H1780" s="45"/>
    </row>
    <row r="1781" spans="1:771 1026:1795 2050:2819 3074:3843 4098:4867 5122:5891 6146:6915 7170:7939 8194:8963 9218:9987 10242:11011 11266:12035 12290:13059 13314:14083 14338:15107 15362:16131" s="35" customFormat="1" ht="55.2" x14ac:dyDescent="0.3">
      <c r="A1781" s="36"/>
      <c r="B1781" s="50" t="s">
        <v>1380</v>
      </c>
      <c r="C1781" s="48" t="s">
        <v>1291</v>
      </c>
      <c r="D1781" s="39" t="s">
        <v>13</v>
      </c>
      <c r="E1781" s="44">
        <v>7</v>
      </c>
      <c r="F1781" s="40"/>
      <c r="G1781" s="40">
        <f>E1781*F1781</f>
        <v>0</v>
      </c>
      <c r="H1781" s="42" t="s">
        <v>2510</v>
      </c>
    </row>
    <row r="1782" spans="1:771 1026:1795 2050:2819 3074:3843 4098:4867 5122:5891 6146:6915 7170:7939 8194:8963 9218:9987 10242:11011 11266:12035 12290:13059 13314:14083 14338:15107 15362:16131" s="35" customFormat="1" x14ac:dyDescent="0.3">
      <c r="A1782" s="36"/>
      <c r="B1782" s="46"/>
      <c r="C1782" s="51" t="s">
        <v>20</v>
      </c>
      <c r="D1782" s="39"/>
      <c r="E1782" s="44"/>
      <c r="F1782" s="40"/>
      <c r="G1782" s="41">
        <f>SUM(G1783:G1784)</f>
        <v>104000</v>
      </c>
      <c r="H1782" s="52"/>
    </row>
    <row r="1783" spans="1:771 1026:1795 2050:2819 3074:3843 4098:4867 5122:5891 6146:6915 7170:7939 8194:8963 9218:9987 10242:11011 11266:12035 12290:13059 13314:14083 14338:15107 15362:16131" s="35" customFormat="1" x14ac:dyDescent="0.3">
      <c r="A1783" s="36"/>
      <c r="B1783" s="46"/>
      <c r="C1783" s="50" t="s">
        <v>1384</v>
      </c>
      <c r="D1783" s="39" t="s">
        <v>21</v>
      </c>
      <c r="E1783" s="44">
        <v>1</v>
      </c>
      <c r="F1783" s="40">
        <v>100000</v>
      </c>
      <c r="G1783" s="40">
        <f>E1783*F1783</f>
        <v>100000</v>
      </c>
      <c r="H1783" s="52"/>
    </row>
    <row r="1784" spans="1:771 1026:1795 2050:2819 3074:3843 4098:4867 5122:5891 6146:6915 7170:7939 8194:8963 9218:9987 10242:11011 11266:12035 12290:13059 13314:14083 14338:15107 15362:16131" s="35" customFormat="1" x14ac:dyDescent="0.3">
      <c r="A1784" s="36"/>
      <c r="B1784" s="46"/>
      <c r="C1784" s="50" t="s">
        <v>36</v>
      </c>
      <c r="D1784" s="76" t="s">
        <v>22</v>
      </c>
      <c r="E1784" s="44">
        <v>1</v>
      </c>
      <c r="F1784" s="40">
        <v>4000</v>
      </c>
      <c r="G1784" s="40">
        <f>E1784*F1784</f>
        <v>4000</v>
      </c>
      <c r="H1784" s="52"/>
    </row>
    <row r="1785" spans="1:771 1026:1795 2050:2819 3074:3843 4098:4867 5122:5891 6146:6915 7170:7939 8194:8963 9218:9987 10242:11011 11266:12035 12290:13059 13314:14083 14338:15107 15362:16131" s="35" customFormat="1" ht="65.400000000000006" thickBot="1" x14ac:dyDescent="0.35">
      <c r="A1785" s="53"/>
      <c r="B1785" s="54"/>
      <c r="C1785" s="55" t="s">
        <v>2331</v>
      </c>
      <c r="D1785" s="56"/>
      <c r="E1785" s="5"/>
      <c r="F1785" s="6"/>
      <c r="G1785" s="57"/>
      <c r="H1785" s="58"/>
    </row>
    <row r="1786" spans="1:771 1026:1795 2050:2819 3074:3843 4098:4867 5122:5891 6146:6915 7170:7939 8194:8963 9218:9987 10242:11011 11266:12035 12290:13059 13314:14083 14338:15107 15362:16131" s="59" customFormat="1" ht="31.8" thickBot="1" x14ac:dyDescent="0.35">
      <c r="A1786" s="154"/>
      <c r="B1786" s="155" t="s">
        <v>26</v>
      </c>
      <c r="C1786" s="156"/>
      <c r="D1786" s="154"/>
      <c r="E1786" s="157"/>
      <c r="F1786" s="158"/>
      <c r="G1786" s="159">
        <f>SUM(G1777:G1785)/2</f>
        <v>1144400</v>
      </c>
      <c r="H1786" s="160"/>
      <c r="IX1786" s="35"/>
      <c r="IY1786" s="35"/>
      <c r="ST1786" s="35"/>
      <c r="SU1786" s="35"/>
      <c r="ACP1786" s="35"/>
      <c r="ACQ1786" s="35"/>
      <c r="AML1786" s="35"/>
      <c r="AMM1786" s="35"/>
      <c r="AWH1786" s="35"/>
      <c r="AWI1786" s="35"/>
      <c r="BGD1786" s="35"/>
      <c r="BGE1786" s="35"/>
      <c r="BPZ1786" s="35"/>
      <c r="BQA1786" s="35"/>
      <c r="BZV1786" s="35"/>
      <c r="BZW1786" s="35"/>
      <c r="CJR1786" s="35"/>
      <c r="CJS1786" s="35"/>
      <c r="CTN1786" s="35"/>
      <c r="CTO1786" s="35"/>
      <c r="DDJ1786" s="35"/>
      <c r="DDK1786" s="35"/>
      <c r="DNF1786" s="35"/>
      <c r="DNG1786" s="35"/>
      <c r="DXB1786" s="35"/>
      <c r="DXC1786" s="35"/>
      <c r="EGX1786" s="35"/>
      <c r="EGY1786" s="35"/>
      <c r="EQT1786" s="35"/>
      <c r="EQU1786" s="35"/>
      <c r="FAP1786" s="35"/>
      <c r="FAQ1786" s="35"/>
      <c r="FKL1786" s="35"/>
      <c r="FKM1786" s="35"/>
      <c r="FUH1786" s="35"/>
      <c r="FUI1786" s="35"/>
      <c r="GED1786" s="35"/>
      <c r="GEE1786" s="35"/>
      <c r="GNZ1786" s="35"/>
      <c r="GOA1786" s="35"/>
      <c r="GXV1786" s="35"/>
      <c r="GXW1786" s="35"/>
      <c r="HHR1786" s="35"/>
      <c r="HHS1786" s="35"/>
      <c r="HRN1786" s="35"/>
      <c r="HRO1786" s="35"/>
      <c r="IBJ1786" s="35"/>
      <c r="IBK1786" s="35"/>
      <c r="ILF1786" s="35"/>
      <c r="ILG1786" s="35"/>
      <c r="IVB1786" s="35"/>
      <c r="IVC1786" s="35"/>
      <c r="JEX1786" s="35"/>
      <c r="JEY1786" s="35"/>
      <c r="JOT1786" s="35"/>
      <c r="JOU1786" s="35"/>
      <c r="JYP1786" s="35"/>
      <c r="JYQ1786" s="35"/>
      <c r="KIL1786" s="35"/>
      <c r="KIM1786" s="35"/>
      <c r="KSH1786" s="35"/>
      <c r="KSI1786" s="35"/>
      <c r="LCD1786" s="35"/>
      <c r="LCE1786" s="35"/>
      <c r="LLZ1786" s="35"/>
      <c r="LMA1786" s="35"/>
      <c r="LVV1786" s="35"/>
      <c r="LVW1786" s="35"/>
      <c r="MFR1786" s="35"/>
      <c r="MFS1786" s="35"/>
      <c r="MPN1786" s="35"/>
      <c r="MPO1786" s="35"/>
      <c r="MZJ1786" s="35"/>
      <c r="MZK1786" s="35"/>
      <c r="NJF1786" s="35"/>
      <c r="NJG1786" s="35"/>
      <c r="NTB1786" s="35"/>
      <c r="NTC1786" s="35"/>
      <c r="OCX1786" s="35"/>
      <c r="OCY1786" s="35"/>
      <c r="OMT1786" s="35"/>
      <c r="OMU1786" s="35"/>
      <c r="OWP1786" s="35"/>
      <c r="OWQ1786" s="35"/>
      <c r="PGL1786" s="35"/>
      <c r="PGM1786" s="35"/>
      <c r="PQH1786" s="35"/>
      <c r="PQI1786" s="35"/>
      <c r="QAD1786" s="35"/>
      <c r="QAE1786" s="35"/>
      <c r="QJZ1786" s="35"/>
      <c r="QKA1786" s="35"/>
      <c r="QTV1786" s="35"/>
      <c r="QTW1786" s="35"/>
      <c r="RDR1786" s="35"/>
      <c r="RDS1786" s="35"/>
      <c r="RNN1786" s="35"/>
      <c r="RNO1786" s="35"/>
      <c r="RXJ1786" s="35"/>
      <c r="RXK1786" s="35"/>
      <c r="SHF1786" s="35"/>
      <c r="SHG1786" s="35"/>
      <c r="SRB1786" s="35"/>
      <c r="SRC1786" s="35"/>
      <c r="TAX1786" s="35"/>
      <c r="TAY1786" s="35"/>
      <c r="TKT1786" s="35"/>
      <c r="TKU1786" s="35"/>
      <c r="TUP1786" s="35"/>
      <c r="TUQ1786" s="35"/>
      <c r="UEL1786" s="35"/>
      <c r="UEM1786" s="35"/>
      <c r="UOH1786" s="35"/>
      <c r="UOI1786" s="35"/>
      <c r="UYD1786" s="35"/>
      <c r="UYE1786" s="35"/>
      <c r="VHZ1786" s="35"/>
      <c r="VIA1786" s="35"/>
      <c r="VRV1786" s="35"/>
      <c r="VRW1786" s="35"/>
      <c r="WBR1786" s="35"/>
      <c r="WBS1786" s="35"/>
      <c r="WLN1786" s="35"/>
      <c r="WLO1786" s="35"/>
      <c r="WVJ1786" s="35"/>
      <c r="WVK1786" s="35"/>
    </row>
    <row r="1787" spans="1:771 1026:1795 2050:2819 3074:3843 4098:4867 5122:5891 6146:6915 7170:7939 8194:8963 9218:9987 10242:11011 11266:12035 12290:13059 13314:14083 14338:15107 15362:16131" s="35" customFormat="1" ht="55.2" x14ac:dyDescent="0.3">
      <c r="A1787" s="28">
        <v>166</v>
      </c>
      <c r="B1787" s="29" t="s">
        <v>1385</v>
      </c>
      <c r="C1787" s="30" t="s">
        <v>2201</v>
      </c>
      <c r="D1787" s="31" t="s">
        <v>13</v>
      </c>
      <c r="E1787" s="32">
        <v>39.700000000000003</v>
      </c>
      <c r="F1787" s="33"/>
      <c r="G1787" s="33"/>
      <c r="H1787" s="34" t="s">
        <v>1387</v>
      </c>
    </row>
    <row r="1788" spans="1:771 1026:1795 2050:2819 3074:3843 4098:4867 5122:5891 6146:6915 7170:7939 8194:8963 9218:9987 10242:11011 11266:12035 12290:13059 13314:14083 14338:15107 15362:16131" s="35" customFormat="1" x14ac:dyDescent="0.3">
      <c r="A1788" s="36"/>
      <c r="B1788" s="37"/>
      <c r="C1788" s="38" t="s">
        <v>14</v>
      </c>
      <c r="D1788" s="162"/>
      <c r="E1788" s="44"/>
      <c r="F1788" s="40"/>
      <c r="G1788" s="41">
        <f>SUM(G1789)</f>
        <v>773316300</v>
      </c>
      <c r="H1788" s="42"/>
    </row>
    <row r="1789" spans="1:771 1026:1795 2050:2819 3074:3843 4098:4867 5122:5891 6146:6915 7170:7939 8194:8963 9218:9987 10242:11011 11266:12035 12290:13059 13314:14083 14338:15107 15362:16131" s="35" customFormat="1" ht="31.2" x14ac:dyDescent="0.3">
      <c r="A1789" s="36"/>
      <c r="B1789" s="37" t="s">
        <v>2315</v>
      </c>
      <c r="C1789" s="48" t="s">
        <v>38</v>
      </c>
      <c r="D1789" s="39" t="s">
        <v>13</v>
      </c>
      <c r="E1789" s="44">
        <v>39.700000000000003</v>
      </c>
      <c r="F1789" s="161">
        <v>19479000</v>
      </c>
      <c r="G1789" s="40">
        <f>E1789*F1789</f>
        <v>773316300</v>
      </c>
      <c r="H1789" s="42"/>
    </row>
    <row r="1790" spans="1:771 1026:1795 2050:2819 3074:3843 4098:4867 5122:5891 6146:6915 7170:7939 8194:8963 9218:9987 10242:11011 11266:12035 12290:13059 13314:14083 14338:15107 15362:16131" s="35" customFormat="1" ht="65.400000000000006" thickBot="1" x14ac:dyDescent="0.35">
      <c r="A1790" s="53"/>
      <c r="B1790" s="54" t="s">
        <v>1386</v>
      </c>
      <c r="C1790" s="55" t="s">
        <v>2331</v>
      </c>
      <c r="D1790" s="56"/>
      <c r="E1790" s="71"/>
      <c r="F1790" s="57"/>
      <c r="G1790" s="57"/>
      <c r="H1790" s="85"/>
    </row>
    <row r="1791" spans="1:771 1026:1795 2050:2819 3074:3843 4098:4867 5122:5891 6146:6915 7170:7939 8194:8963 9218:9987 10242:11011 11266:12035 12290:13059 13314:14083 14338:15107 15362:16131" s="59" customFormat="1" ht="31.8" thickBot="1" x14ac:dyDescent="0.35">
      <c r="A1791" s="154"/>
      <c r="B1791" s="155" t="s">
        <v>26</v>
      </c>
      <c r="C1791" s="156"/>
      <c r="D1791" s="154"/>
      <c r="E1791" s="157"/>
      <c r="F1791" s="158"/>
      <c r="G1791" s="159">
        <f>SUM(G1787:G1790)/2</f>
        <v>773316300</v>
      </c>
      <c r="H1791" s="160"/>
      <c r="IX1791" s="35"/>
      <c r="IY1791" s="35"/>
      <c r="ST1791" s="35"/>
      <c r="SU1791" s="35"/>
      <c r="ACP1791" s="35"/>
      <c r="ACQ1791" s="35"/>
      <c r="AML1791" s="35"/>
      <c r="AMM1791" s="35"/>
      <c r="AWH1791" s="35"/>
      <c r="AWI1791" s="35"/>
      <c r="BGD1791" s="35"/>
      <c r="BGE1791" s="35"/>
      <c r="BPZ1791" s="35"/>
      <c r="BQA1791" s="35"/>
      <c r="BZV1791" s="35"/>
      <c r="BZW1791" s="35"/>
      <c r="CJR1791" s="35"/>
      <c r="CJS1791" s="35"/>
      <c r="CTN1791" s="35"/>
      <c r="CTO1791" s="35"/>
      <c r="DDJ1791" s="35"/>
      <c r="DDK1791" s="35"/>
      <c r="DNF1791" s="35"/>
      <c r="DNG1791" s="35"/>
      <c r="DXB1791" s="35"/>
      <c r="DXC1791" s="35"/>
      <c r="EGX1791" s="35"/>
      <c r="EGY1791" s="35"/>
      <c r="EQT1791" s="35"/>
      <c r="EQU1791" s="35"/>
      <c r="FAP1791" s="35"/>
      <c r="FAQ1791" s="35"/>
      <c r="FKL1791" s="35"/>
      <c r="FKM1791" s="35"/>
      <c r="FUH1791" s="35"/>
      <c r="FUI1791" s="35"/>
      <c r="GED1791" s="35"/>
      <c r="GEE1791" s="35"/>
      <c r="GNZ1791" s="35"/>
      <c r="GOA1791" s="35"/>
      <c r="GXV1791" s="35"/>
      <c r="GXW1791" s="35"/>
      <c r="HHR1791" s="35"/>
      <c r="HHS1791" s="35"/>
      <c r="HRN1791" s="35"/>
      <c r="HRO1791" s="35"/>
      <c r="IBJ1791" s="35"/>
      <c r="IBK1791" s="35"/>
      <c r="ILF1791" s="35"/>
      <c r="ILG1791" s="35"/>
      <c r="IVB1791" s="35"/>
      <c r="IVC1791" s="35"/>
      <c r="JEX1791" s="35"/>
      <c r="JEY1791" s="35"/>
      <c r="JOT1791" s="35"/>
      <c r="JOU1791" s="35"/>
      <c r="JYP1791" s="35"/>
      <c r="JYQ1791" s="35"/>
      <c r="KIL1791" s="35"/>
      <c r="KIM1791" s="35"/>
      <c r="KSH1791" s="35"/>
      <c r="KSI1791" s="35"/>
      <c r="LCD1791" s="35"/>
      <c r="LCE1791" s="35"/>
      <c r="LLZ1791" s="35"/>
      <c r="LMA1791" s="35"/>
      <c r="LVV1791" s="35"/>
      <c r="LVW1791" s="35"/>
      <c r="MFR1791" s="35"/>
      <c r="MFS1791" s="35"/>
      <c r="MPN1791" s="35"/>
      <c r="MPO1791" s="35"/>
      <c r="MZJ1791" s="35"/>
      <c r="MZK1791" s="35"/>
      <c r="NJF1791" s="35"/>
      <c r="NJG1791" s="35"/>
      <c r="NTB1791" s="35"/>
      <c r="NTC1791" s="35"/>
      <c r="OCX1791" s="35"/>
      <c r="OCY1791" s="35"/>
      <c r="OMT1791" s="35"/>
      <c r="OMU1791" s="35"/>
      <c r="OWP1791" s="35"/>
      <c r="OWQ1791" s="35"/>
      <c r="PGL1791" s="35"/>
      <c r="PGM1791" s="35"/>
      <c r="PQH1791" s="35"/>
      <c r="PQI1791" s="35"/>
      <c r="QAD1791" s="35"/>
      <c r="QAE1791" s="35"/>
      <c r="QJZ1791" s="35"/>
      <c r="QKA1791" s="35"/>
      <c r="QTV1791" s="35"/>
      <c r="QTW1791" s="35"/>
      <c r="RDR1791" s="35"/>
      <c r="RDS1791" s="35"/>
      <c r="RNN1791" s="35"/>
      <c r="RNO1791" s="35"/>
      <c r="RXJ1791" s="35"/>
      <c r="RXK1791" s="35"/>
      <c r="SHF1791" s="35"/>
      <c r="SHG1791" s="35"/>
      <c r="SRB1791" s="35"/>
      <c r="SRC1791" s="35"/>
      <c r="TAX1791" s="35"/>
      <c r="TAY1791" s="35"/>
      <c r="TKT1791" s="35"/>
      <c r="TKU1791" s="35"/>
      <c r="TUP1791" s="35"/>
      <c r="TUQ1791" s="35"/>
      <c r="UEL1791" s="35"/>
      <c r="UEM1791" s="35"/>
      <c r="UOH1791" s="35"/>
      <c r="UOI1791" s="35"/>
      <c r="UYD1791" s="35"/>
      <c r="UYE1791" s="35"/>
      <c r="VHZ1791" s="35"/>
      <c r="VIA1791" s="35"/>
      <c r="VRV1791" s="35"/>
      <c r="VRW1791" s="35"/>
      <c r="WBR1791" s="35"/>
      <c r="WBS1791" s="35"/>
      <c r="WLN1791" s="35"/>
      <c r="WLO1791" s="35"/>
      <c r="WVJ1791" s="35"/>
      <c r="WVK1791" s="35"/>
    </row>
    <row r="1792" spans="1:771 1026:1795 2050:2819 3074:3843 4098:4867 5122:5891 6146:6915 7170:7939 8194:8963 9218:9987 10242:11011 11266:12035 12290:13059 13314:14083 14338:15107 15362:16131" s="35" customFormat="1" ht="55.2" x14ac:dyDescent="0.3">
      <c r="A1792" s="28">
        <v>167</v>
      </c>
      <c r="B1792" s="29" t="s">
        <v>1388</v>
      </c>
      <c r="C1792" s="30" t="s">
        <v>1393</v>
      </c>
      <c r="D1792" s="31" t="s">
        <v>13</v>
      </c>
      <c r="E1792" s="32">
        <v>17.399999999999999</v>
      </c>
      <c r="F1792" s="33"/>
      <c r="G1792" s="33"/>
      <c r="H1792" s="34" t="s">
        <v>1394</v>
      </c>
    </row>
    <row r="1793" spans="1:771 1026:1795 2050:2819 3074:3843 4098:4867 5122:5891 6146:6915 7170:7939 8194:8963 9218:9987 10242:11011 11266:12035 12290:13059 13314:14083 14338:15107 15362:16131" s="35" customFormat="1" x14ac:dyDescent="0.3">
      <c r="A1793" s="36"/>
      <c r="B1793" s="37" t="s">
        <v>1389</v>
      </c>
      <c r="C1793" s="38" t="s">
        <v>14</v>
      </c>
      <c r="D1793" s="162"/>
      <c r="E1793" s="44"/>
      <c r="F1793" s="40"/>
      <c r="G1793" s="41">
        <f>SUM(G1794)</f>
        <v>338934600</v>
      </c>
      <c r="H1793" s="42"/>
    </row>
    <row r="1794" spans="1:771 1026:1795 2050:2819 3074:3843 4098:4867 5122:5891 6146:6915 7170:7939 8194:8963 9218:9987 10242:11011 11266:12035 12290:13059 13314:14083 14338:15107 15362:16131" s="35" customFormat="1" ht="18.600000000000001" x14ac:dyDescent="0.3">
      <c r="A1794" s="36"/>
      <c r="B1794" s="37" t="s">
        <v>1390</v>
      </c>
      <c r="C1794" s="48" t="s">
        <v>38</v>
      </c>
      <c r="D1794" s="39" t="s">
        <v>13</v>
      </c>
      <c r="E1794" s="44">
        <v>17.399999999999999</v>
      </c>
      <c r="F1794" s="161">
        <v>19479000</v>
      </c>
      <c r="G1794" s="40">
        <f>E1794*F1794</f>
        <v>338934600</v>
      </c>
      <c r="H1794" s="42"/>
    </row>
    <row r="1795" spans="1:771 1026:1795 2050:2819 3074:3843 4098:4867 5122:5891 6146:6915 7170:7939 8194:8963 9218:9987 10242:11011 11266:12035 12290:13059 13314:14083 14338:15107 15362:16131" s="35" customFormat="1" ht="78" x14ac:dyDescent="0.3">
      <c r="A1795" s="36"/>
      <c r="B1795" s="46" t="s">
        <v>1392</v>
      </c>
      <c r="C1795" s="47" t="s">
        <v>35</v>
      </c>
      <c r="D1795" s="39"/>
      <c r="E1795" s="44"/>
      <c r="F1795" s="40"/>
      <c r="G1795" s="41">
        <f>SUM(G1796:G1801)</f>
        <v>48738810</v>
      </c>
      <c r="H1795" s="45"/>
    </row>
    <row r="1796" spans="1:771 1026:1795 2050:2819 3074:3843 4098:4867 5122:5891 6146:6915 7170:7939 8194:8963 9218:9987 10242:11011 11266:12035 12290:13059 13314:14083 14338:15107 15362:16131" s="35" customFormat="1" ht="93.6" x14ac:dyDescent="0.3">
      <c r="A1796" s="36"/>
      <c r="B1796" s="50" t="s">
        <v>1391</v>
      </c>
      <c r="C1796" s="48" t="s">
        <v>1395</v>
      </c>
      <c r="D1796" s="39" t="s">
        <v>13</v>
      </c>
      <c r="E1796" s="44">
        <v>0.67500000000000004</v>
      </c>
      <c r="F1796" s="40">
        <f>4594000*40%</f>
        <v>1837600</v>
      </c>
      <c r="G1796" s="40">
        <f>E1796*F1796</f>
        <v>1240380</v>
      </c>
      <c r="H1796" s="42" t="s">
        <v>2512</v>
      </c>
    </row>
    <row r="1797" spans="1:771 1026:1795 2050:2819 3074:3843 4098:4867 5122:5891 6146:6915 7170:7939 8194:8963 9218:9987 10242:11011 11266:12035 12290:13059 13314:14083 14338:15107 15362:16131" s="35" customFormat="1" ht="93.6" x14ac:dyDescent="0.3">
      <c r="A1797" s="36"/>
      <c r="B1797" s="50"/>
      <c r="C1797" s="48" t="s">
        <v>1396</v>
      </c>
      <c r="D1797" s="39" t="s">
        <v>13</v>
      </c>
      <c r="E1797" s="44">
        <v>8.6950000000000003</v>
      </c>
      <c r="F1797" s="40">
        <v>4594000</v>
      </c>
      <c r="G1797" s="40">
        <f>E1797*F1797</f>
        <v>39944830</v>
      </c>
      <c r="H1797" s="42" t="s">
        <v>2511</v>
      </c>
    </row>
    <row r="1798" spans="1:771 1026:1795 2050:2819 3074:3843 4098:4867 5122:5891 6146:6915 7170:7939 8194:8963 9218:9987 10242:11011 11266:12035 12290:13059 13314:14083 14338:15107 15362:16131" s="35" customFormat="1" ht="46.8" x14ac:dyDescent="0.3">
      <c r="A1798" s="36"/>
      <c r="B1798" s="50"/>
      <c r="C1798" s="48" t="s">
        <v>1397</v>
      </c>
      <c r="D1798" s="39" t="s">
        <v>13</v>
      </c>
      <c r="E1798" s="44">
        <v>10.27</v>
      </c>
      <c r="F1798" s="40">
        <f>540000*40%</f>
        <v>216000</v>
      </c>
      <c r="G1798" s="40">
        <f>E1798*F1798</f>
        <v>2218320</v>
      </c>
      <c r="H1798" s="52" t="s">
        <v>2374</v>
      </c>
    </row>
    <row r="1799" spans="1:771 1026:1795 2050:2819 3074:3843 4098:4867 5122:5891 6146:6915 7170:7939 8194:8963 9218:9987 10242:11011 11266:12035 12290:13059 13314:14083 14338:15107 15362:16131" s="35" customFormat="1" ht="18.600000000000001" x14ac:dyDescent="0.3">
      <c r="A1799" s="36"/>
      <c r="B1799" s="50"/>
      <c r="C1799" s="48" t="s">
        <v>1398</v>
      </c>
      <c r="D1799" s="39" t="s">
        <v>13</v>
      </c>
      <c r="E1799" s="44">
        <v>5.0519999999999996</v>
      </c>
      <c r="F1799" s="40">
        <v>140000</v>
      </c>
      <c r="G1799" s="40">
        <f>E1799*F1799</f>
        <v>707280</v>
      </c>
      <c r="H1799" s="52"/>
    </row>
    <row r="1800" spans="1:771 1026:1795 2050:2819 3074:3843 4098:4867 5122:5891 6146:6915 7170:7939 8194:8963 9218:9987 10242:11011 11266:12035 12290:13059 13314:14083 14338:15107 15362:16131" s="35" customFormat="1" x14ac:dyDescent="0.3">
      <c r="A1800" s="36"/>
      <c r="B1800" s="50"/>
      <c r="C1800" s="48" t="s">
        <v>322</v>
      </c>
      <c r="D1800" s="39" t="s">
        <v>106</v>
      </c>
      <c r="E1800" s="44">
        <v>1</v>
      </c>
      <c r="F1800" s="40">
        <f>2976000+(236000*7)</f>
        <v>4628000</v>
      </c>
      <c r="G1800" s="40">
        <f>E1800*F1800</f>
        <v>4628000</v>
      </c>
      <c r="H1800" s="52"/>
    </row>
    <row r="1801" spans="1:771 1026:1795 2050:2819 3074:3843 4098:4867 5122:5891 6146:6915 7170:7939 8194:8963 9218:9987 10242:11011 11266:12035 12290:13059 13314:14083 14338:15107 15362:16131" s="35" customFormat="1" ht="65.400000000000006" thickBot="1" x14ac:dyDescent="0.35">
      <c r="A1801" s="53"/>
      <c r="B1801" s="54"/>
      <c r="C1801" s="55" t="s">
        <v>2331</v>
      </c>
      <c r="D1801" s="56"/>
      <c r="E1801" s="5"/>
      <c r="F1801" s="6"/>
      <c r="G1801" s="57"/>
      <c r="H1801" s="58"/>
    </row>
    <row r="1802" spans="1:771 1026:1795 2050:2819 3074:3843 4098:4867 5122:5891 6146:6915 7170:7939 8194:8963 9218:9987 10242:11011 11266:12035 12290:13059 13314:14083 14338:15107 15362:16131" s="59" customFormat="1" ht="31.8" thickBot="1" x14ac:dyDescent="0.35">
      <c r="A1802" s="154"/>
      <c r="B1802" s="155" t="s">
        <v>26</v>
      </c>
      <c r="C1802" s="156"/>
      <c r="D1802" s="154"/>
      <c r="E1802" s="157"/>
      <c r="F1802" s="158"/>
      <c r="G1802" s="159">
        <f>SUM(G1792:G1801)/2</f>
        <v>387673410</v>
      </c>
      <c r="H1802" s="160"/>
      <c r="IX1802" s="35"/>
      <c r="IY1802" s="35"/>
      <c r="ST1802" s="35"/>
      <c r="SU1802" s="35"/>
      <c r="ACP1802" s="35"/>
      <c r="ACQ1802" s="35"/>
      <c r="AML1802" s="35"/>
      <c r="AMM1802" s="35"/>
      <c r="AWH1802" s="35"/>
      <c r="AWI1802" s="35"/>
      <c r="BGD1802" s="35"/>
      <c r="BGE1802" s="35"/>
      <c r="BPZ1802" s="35"/>
      <c r="BQA1802" s="35"/>
      <c r="BZV1802" s="35"/>
      <c r="BZW1802" s="35"/>
      <c r="CJR1802" s="35"/>
      <c r="CJS1802" s="35"/>
      <c r="CTN1802" s="35"/>
      <c r="CTO1802" s="35"/>
      <c r="DDJ1802" s="35"/>
      <c r="DDK1802" s="35"/>
      <c r="DNF1802" s="35"/>
      <c r="DNG1802" s="35"/>
      <c r="DXB1802" s="35"/>
      <c r="DXC1802" s="35"/>
      <c r="EGX1802" s="35"/>
      <c r="EGY1802" s="35"/>
      <c r="EQT1802" s="35"/>
      <c r="EQU1802" s="35"/>
      <c r="FAP1802" s="35"/>
      <c r="FAQ1802" s="35"/>
      <c r="FKL1802" s="35"/>
      <c r="FKM1802" s="35"/>
      <c r="FUH1802" s="35"/>
      <c r="FUI1802" s="35"/>
      <c r="GED1802" s="35"/>
      <c r="GEE1802" s="35"/>
      <c r="GNZ1802" s="35"/>
      <c r="GOA1802" s="35"/>
      <c r="GXV1802" s="35"/>
      <c r="GXW1802" s="35"/>
      <c r="HHR1802" s="35"/>
      <c r="HHS1802" s="35"/>
      <c r="HRN1802" s="35"/>
      <c r="HRO1802" s="35"/>
      <c r="IBJ1802" s="35"/>
      <c r="IBK1802" s="35"/>
      <c r="ILF1802" s="35"/>
      <c r="ILG1802" s="35"/>
      <c r="IVB1802" s="35"/>
      <c r="IVC1802" s="35"/>
      <c r="JEX1802" s="35"/>
      <c r="JEY1802" s="35"/>
      <c r="JOT1802" s="35"/>
      <c r="JOU1802" s="35"/>
      <c r="JYP1802" s="35"/>
      <c r="JYQ1802" s="35"/>
      <c r="KIL1802" s="35"/>
      <c r="KIM1802" s="35"/>
      <c r="KSH1802" s="35"/>
      <c r="KSI1802" s="35"/>
      <c r="LCD1802" s="35"/>
      <c r="LCE1802" s="35"/>
      <c r="LLZ1802" s="35"/>
      <c r="LMA1802" s="35"/>
      <c r="LVV1802" s="35"/>
      <c r="LVW1802" s="35"/>
      <c r="MFR1802" s="35"/>
      <c r="MFS1802" s="35"/>
      <c r="MPN1802" s="35"/>
      <c r="MPO1802" s="35"/>
      <c r="MZJ1802" s="35"/>
      <c r="MZK1802" s="35"/>
      <c r="NJF1802" s="35"/>
      <c r="NJG1802" s="35"/>
      <c r="NTB1802" s="35"/>
      <c r="NTC1802" s="35"/>
      <c r="OCX1802" s="35"/>
      <c r="OCY1802" s="35"/>
      <c r="OMT1802" s="35"/>
      <c r="OMU1802" s="35"/>
      <c r="OWP1802" s="35"/>
      <c r="OWQ1802" s="35"/>
      <c r="PGL1802" s="35"/>
      <c r="PGM1802" s="35"/>
      <c r="PQH1802" s="35"/>
      <c r="PQI1802" s="35"/>
      <c r="QAD1802" s="35"/>
      <c r="QAE1802" s="35"/>
      <c r="QJZ1802" s="35"/>
      <c r="QKA1802" s="35"/>
      <c r="QTV1802" s="35"/>
      <c r="QTW1802" s="35"/>
      <c r="RDR1802" s="35"/>
      <c r="RDS1802" s="35"/>
      <c r="RNN1802" s="35"/>
      <c r="RNO1802" s="35"/>
      <c r="RXJ1802" s="35"/>
      <c r="RXK1802" s="35"/>
      <c r="SHF1802" s="35"/>
      <c r="SHG1802" s="35"/>
      <c r="SRB1802" s="35"/>
      <c r="SRC1802" s="35"/>
      <c r="TAX1802" s="35"/>
      <c r="TAY1802" s="35"/>
      <c r="TKT1802" s="35"/>
      <c r="TKU1802" s="35"/>
      <c r="TUP1802" s="35"/>
      <c r="TUQ1802" s="35"/>
      <c r="UEL1802" s="35"/>
      <c r="UEM1802" s="35"/>
      <c r="UOH1802" s="35"/>
      <c r="UOI1802" s="35"/>
      <c r="UYD1802" s="35"/>
      <c r="UYE1802" s="35"/>
      <c r="VHZ1802" s="35"/>
      <c r="VIA1802" s="35"/>
      <c r="VRV1802" s="35"/>
      <c r="VRW1802" s="35"/>
      <c r="WBR1802" s="35"/>
      <c r="WBS1802" s="35"/>
      <c r="WLN1802" s="35"/>
      <c r="WLO1802" s="35"/>
      <c r="WVJ1802" s="35"/>
      <c r="WVK1802" s="35"/>
    </row>
    <row r="1803" spans="1:771 1026:1795 2050:2819 3074:3843 4098:4867 5122:5891 6146:6915 7170:7939 8194:8963 9218:9987 10242:11011 11266:12035 12290:13059 13314:14083 14338:15107 15362:16131" s="35" customFormat="1" ht="41.4" x14ac:dyDescent="0.3">
      <c r="A1803" s="28">
        <v>168</v>
      </c>
      <c r="B1803" s="29" t="s">
        <v>1402</v>
      </c>
      <c r="C1803" s="30" t="s">
        <v>2243</v>
      </c>
      <c r="D1803" s="31" t="s">
        <v>13</v>
      </c>
      <c r="E1803" s="32">
        <v>15.8</v>
      </c>
      <c r="F1803" s="33"/>
      <c r="G1803" s="33"/>
      <c r="H1803" s="34" t="s">
        <v>64</v>
      </c>
    </row>
    <row r="1804" spans="1:771 1026:1795 2050:2819 3074:3843 4098:4867 5122:5891 6146:6915 7170:7939 8194:8963 9218:9987 10242:11011 11266:12035 12290:13059 13314:14083 14338:15107 15362:16131" s="35" customFormat="1" x14ac:dyDescent="0.3">
      <c r="A1804" s="36"/>
      <c r="B1804" s="72" t="s">
        <v>1403</v>
      </c>
      <c r="C1804" s="38" t="s">
        <v>14</v>
      </c>
      <c r="D1804" s="39"/>
      <c r="E1804" s="44"/>
      <c r="F1804" s="40"/>
      <c r="G1804" s="41">
        <f>SUM(G1805)</f>
        <v>164383200</v>
      </c>
      <c r="H1804" s="42"/>
    </row>
    <row r="1805" spans="1:771 1026:1795 2050:2819 3074:3843 4098:4867 5122:5891 6146:6915 7170:7939 8194:8963 9218:9987 10242:11011 11266:12035 12290:13059 13314:14083 14338:15107 15362:16131" s="35" customFormat="1" ht="78" x14ac:dyDescent="0.3">
      <c r="A1805" s="36"/>
      <c r="B1805" s="72" t="s">
        <v>1404</v>
      </c>
      <c r="C1805" s="43" t="s">
        <v>55</v>
      </c>
      <c r="D1805" s="39" t="s">
        <v>13</v>
      </c>
      <c r="E1805" s="73">
        <v>15.8</v>
      </c>
      <c r="F1805" s="179">
        <v>10404000</v>
      </c>
      <c r="G1805" s="40">
        <f>E1805*F1805</f>
        <v>164383200</v>
      </c>
      <c r="H1805" s="42"/>
    </row>
    <row r="1806" spans="1:771 1026:1795 2050:2819 3074:3843 4098:4867 5122:5891 6146:6915 7170:7939 8194:8963 9218:9987 10242:11011 11266:12035 12290:13059 13314:14083 14338:15107 15362:16131" s="35" customFormat="1" x14ac:dyDescent="0.3">
      <c r="A1806" s="36"/>
      <c r="B1806" s="72" t="s">
        <v>1405</v>
      </c>
      <c r="C1806" s="47" t="s">
        <v>35</v>
      </c>
      <c r="D1806" s="39"/>
      <c r="E1806" s="73"/>
      <c r="F1806" s="40"/>
      <c r="G1806" s="41">
        <f>SUM(G1807:G1809)</f>
        <v>12449540</v>
      </c>
      <c r="H1806" s="45"/>
    </row>
    <row r="1807" spans="1:771 1026:1795 2050:2819 3074:3843 4098:4867 5122:5891 6146:6915 7170:7939 8194:8963 9218:9987 10242:11011 11266:12035 12290:13059 13314:14083 14338:15107 15362:16131" s="35" customFormat="1" ht="27.6" x14ac:dyDescent="0.3">
      <c r="A1807" s="36"/>
      <c r="B1807" s="38"/>
      <c r="C1807" s="66" t="s">
        <v>469</v>
      </c>
      <c r="D1807" s="39" t="s">
        <v>13</v>
      </c>
      <c r="E1807" s="73">
        <f>(2*11.2)-4.2</f>
        <v>18.2</v>
      </c>
      <c r="F1807" s="74">
        <v>258000</v>
      </c>
      <c r="G1807" s="40">
        <f>E1807*F1807</f>
        <v>4695600</v>
      </c>
      <c r="H1807" s="45" t="s">
        <v>1406</v>
      </c>
    </row>
    <row r="1808" spans="1:771 1026:1795 2050:2819 3074:3843 4098:4867 5122:5891 6146:6915 7170:7939 8194:8963 9218:9987 10242:11011 11266:12035 12290:13059 13314:14083 14338:15107 15362:16131" s="35" customFormat="1" ht="41.4" x14ac:dyDescent="0.3">
      <c r="A1808" s="36"/>
      <c r="B1808" s="72"/>
      <c r="C1808" s="66" t="s">
        <v>1407</v>
      </c>
      <c r="D1808" s="39" t="s">
        <v>13</v>
      </c>
      <c r="E1808" s="73">
        <f>2*3.7</f>
        <v>7.4</v>
      </c>
      <c r="F1808" s="74">
        <v>733000</v>
      </c>
      <c r="G1808" s="40">
        <f>E1808*F1808</f>
        <v>5424200</v>
      </c>
      <c r="H1808" s="45" t="s">
        <v>1408</v>
      </c>
    </row>
    <row r="1809" spans="1:771 1026:1795 2050:2819 3074:3843 4098:4867 5122:5891 6146:6915 7170:7939 8194:8963 9218:9987 10242:11011 11266:12035 12290:13059 13314:14083 14338:15107 15362:16131" s="35" customFormat="1" ht="41.4" x14ac:dyDescent="0.3">
      <c r="A1809" s="36"/>
      <c r="B1809" s="72"/>
      <c r="C1809" s="66" t="s">
        <v>469</v>
      </c>
      <c r="D1809" s="39" t="s">
        <v>13</v>
      </c>
      <c r="E1809" s="73">
        <f>(((0.8+2.5)*11.2)/2)-(2.1*4.5)</f>
        <v>9.0299999999999958</v>
      </c>
      <c r="F1809" s="74">
        <v>258000</v>
      </c>
      <c r="G1809" s="40">
        <f>E1809*F1809</f>
        <v>2329739.9999999991</v>
      </c>
      <c r="H1809" s="45" t="s">
        <v>1409</v>
      </c>
    </row>
    <row r="1810" spans="1:771 1026:1795 2050:2819 3074:3843 4098:4867 5122:5891 6146:6915 7170:7939 8194:8963 9218:9987 10242:11011 11266:12035 12290:13059 13314:14083 14338:15107 15362:16131" s="35" customFormat="1" x14ac:dyDescent="0.3">
      <c r="A1810" s="36"/>
      <c r="B1810" s="46"/>
      <c r="C1810" s="51" t="s">
        <v>23</v>
      </c>
      <c r="D1810" s="39"/>
      <c r="E1810" s="1"/>
      <c r="F1810" s="2"/>
      <c r="G1810" s="41">
        <f>SUM(G1811)</f>
        <v>6120000</v>
      </c>
      <c r="H1810" s="52"/>
    </row>
    <row r="1811" spans="1:771 1026:1795 2050:2819 3074:3843 4098:4867 5122:5891 6146:6915 7170:7939 8194:8963 9218:9987 10242:11011 11266:12035 12290:13059 13314:14083 14338:15107 15362:16131" s="35" customFormat="1" x14ac:dyDescent="0.3">
      <c r="A1811" s="36"/>
      <c r="B1811" s="46"/>
      <c r="C1811" s="50" t="s">
        <v>24</v>
      </c>
      <c r="D1811" s="39" t="s">
        <v>25</v>
      </c>
      <c r="E1811" s="1">
        <f>2*30*6</f>
        <v>360</v>
      </c>
      <c r="F1811" s="2">
        <v>17000</v>
      </c>
      <c r="G1811" s="40">
        <f>E1811*F1811</f>
        <v>6120000</v>
      </c>
      <c r="H1811" s="42"/>
    </row>
    <row r="1812" spans="1:771 1026:1795 2050:2819 3074:3843 4098:4867 5122:5891 6146:6915 7170:7939 8194:8963 9218:9987 10242:11011 11266:12035 12290:13059 13314:14083 14338:15107 15362:16131" s="35" customFormat="1" ht="65.400000000000006" thickBot="1" x14ac:dyDescent="0.35">
      <c r="A1812" s="53"/>
      <c r="B1812" s="54"/>
      <c r="C1812" s="55" t="s">
        <v>2331</v>
      </c>
      <c r="D1812" s="56"/>
      <c r="E1812" s="5"/>
      <c r="F1812" s="6"/>
      <c r="G1812" s="57"/>
      <c r="H1812" s="58"/>
    </row>
    <row r="1813" spans="1:771 1026:1795 2050:2819 3074:3843 4098:4867 5122:5891 6146:6915 7170:7939 8194:8963 9218:9987 10242:11011 11266:12035 12290:13059 13314:14083 14338:15107 15362:16131" s="59" customFormat="1" ht="31.8" thickBot="1" x14ac:dyDescent="0.35">
      <c r="A1813" s="154"/>
      <c r="B1813" s="155" t="s">
        <v>26</v>
      </c>
      <c r="C1813" s="156"/>
      <c r="D1813" s="154"/>
      <c r="E1813" s="157"/>
      <c r="F1813" s="158"/>
      <c r="G1813" s="159">
        <f>SUM(G1803:G1812)/2</f>
        <v>182952740</v>
      </c>
      <c r="H1813" s="160"/>
      <c r="IX1813" s="35"/>
      <c r="IY1813" s="35"/>
      <c r="ST1813" s="35"/>
      <c r="SU1813" s="35"/>
      <c r="ACP1813" s="35"/>
      <c r="ACQ1813" s="35"/>
      <c r="AML1813" s="35"/>
      <c r="AMM1813" s="35"/>
      <c r="AWH1813" s="35"/>
      <c r="AWI1813" s="35"/>
      <c r="BGD1813" s="35"/>
      <c r="BGE1813" s="35"/>
      <c r="BPZ1813" s="35"/>
      <c r="BQA1813" s="35"/>
      <c r="BZV1813" s="35"/>
      <c r="BZW1813" s="35"/>
      <c r="CJR1813" s="35"/>
      <c r="CJS1813" s="35"/>
      <c r="CTN1813" s="35"/>
      <c r="CTO1813" s="35"/>
      <c r="DDJ1813" s="35"/>
      <c r="DDK1813" s="35"/>
      <c r="DNF1813" s="35"/>
      <c r="DNG1813" s="35"/>
      <c r="DXB1813" s="35"/>
      <c r="DXC1813" s="35"/>
      <c r="EGX1813" s="35"/>
      <c r="EGY1813" s="35"/>
      <c r="EQT1813" s="35"/>
      <c r="EQU1813" s="35"/>
      <c r="FAP1813" s="35"/>
      <c r="FAQ1813" s="35"/>
      <c r="FKL1813" s="35"/>
      <c r="FKM1813" s="35"/>
      <c r="FUH1813" s="35"/>
      <c r="FUI1813" s="35"/>
      <c r="GED1813" s="35"/>
      <c r="GEE1813" s="35"/>
      <c r="GNZ1813" s="35"/>
      <c r="GOA1813" s="35"/>
      <c r="GXV1813" s="35"/>
      <c r="GXW1813" s="35"/>
      <c r="HHR1813" s="35"/>
      <c r="HHS1813" s="35"/>
      <c r="HRN1813" s="35"/>
      <c r="HRO1813" s="35"/>
      <c r="IBJ1813" s="35"/>
      <c r="IBK1813" s="35"/>
      <c r="ILF1813" s="35"/>
      <c r="ILG1813" s="35"/>
      <c r="IVB1813" s="35"/>
      <c r="IVC1813" s="35"/>
      <c r="JEX1813" s="35"/>
      <c r="JEY1813" s="35"/>
      <c r="JOT1813" s="35"/>
      <c r="JOU1813" s="35"/>
      <c r="JYP1813" s="35"/>
      <c r="JYQ1813" s="35"/>
      <c r="KIL1813" s="35"/>
      <c r="KIM1813" s="35"/>
      <c r="KSH1813" s="35"/>
      <c r="KSI1813" s="35"/>
      <c r="LCD1813" s="35"/>
      <c r="LCE1813" s="35"/>
      <c r="LLZ1813" s="35"/>
      <c r="LMA1813" s="35"/>
      <c r="LVV1813" s="35"/>
      <c r="LVW1813" s="35"/>
      <c r="MFR1813" s="35"/>
      <c r="MFS1813" s="35"/>
      <c r="MPN1813" s="35"/>
      <c r="MPO1813" s="35"/>
      <c r="MZJ1813" s="35"/>
      <c r="MZK1813" s="35"/>
      <c r="NJF1813" s="35"/>
      <c r="NJG1813" s="35"/>
      <c r="NTB1813" s="35"/>
      <c r="NTC1813" s="35"/>
      <c r="OCX1813" s="35"/>
      <c r="OCY1813" s="35"/>
      <c r="OMT1813" s="35"/>
      <c r="OMU1813" s="35"/>
      <c r="OWP1813" s="35"/>
      <c r="OWQ1813" s="35"/>
      <c r="PGL1813" s="35"/>
      <c r="PGM1813" s="35"/>
      <c r="PQH1813" s="35"/>
      <c r="PQI1813" s="35"/>
      <c r="QAD1813" s="35"/>
      <c r="QAE1813" s="35"/>
      <c r="QJZ1813" s="35"/>
      <c r="QKA1813" s="35"/>
      <c r="QTV1813" s="35"/>
      <c r="QTW1813" s="35"/>
      <c r="RDR1813" s="35"/>
      <c r="RDS1813" s="35"/>
      <c r="RNN1813" s="35"/>
      <c r="RNO1813" s="35"/>
      <c r="RXJ1813" s="35"/>
      <c r="RXK1813" s="35"/>
      <c r="SHF1813" s="35"/>
      <c r="SHG1813" s="35"/>
      <c r="SRB1813" s="35"/>
      <c r="SRC1813" s="35"/>
      <c r="TAX1813" s="35"/>
      <c r="TAY1813" s="35"/>
      <c r="TKT1813" s="35"/>
      <c r="TKU1813" s="35"/>
      <c r="TUP1813" s="35"/>
      <c r="TUQ1813" s="35"/>
      <c r="UEL1813" s="35"/>
      <c r="UEM1813" s="35"/>
      <c r="UOH1813" s="35"/>
      <c r="UOI1813" s="35"/>
      <c r="UYD1813" s="35"/>
      <c r="UYE1813" s="35"/>
      <c r="VHZ1813" s="35"/>
      <c r="VIA1813" s="35"/>
      <c r="VRV1813" s="35"/>
      <c r="VRW1813" s="35"/>
      <c r="WBR1813" s="35"/>
      <c r="WBS1813" s="35"/>
      <c r="WLN1813" s="35"/>
      <c r="WLO1813" s="35"/>
      <c r="WVJ1813" s="35"/>
      <c r="WVK1813" s="35"/>
    </row>
    <row r="1814" spans="1:771 1026:1795 2050:2819 3074:3843 4098:4867 5122:5891 6146:6915 7170:7939 8194:8963 9218:9987 10242:11011 11266:12035 12290:13059 13314:14083 14338:15107 15362:16131" s="35" customFormat="1" ht="55.2" x14ac:dyDescent="0.3">
      <c r="A1814" s="28">
        <v>169</v>
      </c>
      <c r="B1814" s="29" t="s">
        <v>2242</v>
      </c>
      <c r="C1814" s="30" t="s">
        <v>1413</v>
      </c>
      <c r="D1814" s="31" t="s">
        <v>13</v>
      </c>
      <c r="E1814" s="32">
        <f>10.5+12.9</f>
        <v>23.4</v>
      </c>
      <c r="F1814" s="33"/>
      <c r="G1814" s="33"/>
      <c r="H1814" s="34" t="s">
        <v>1414</v>
      </c>
    </row>
    <row r="1815" spans="1:771 1026:1795 2050:2819 3074:3843 4098:4867 5122:5891 6146:6915 7170:7939 8194:8963 9218:9987 10242:11011 11266:12035 12290:13059 13314:14083 14338:15107 15362:16131" s="35" customFormat="1" x14ac:dyDescent="0.3">
      <c r="A1815" s="36"/>
      <c r="B1815" s="72" t="s">
        <v>1410</v>
      </c>
      <c r="C1815" s="38" t="s">
        <v>14</v>
      </c>
      <c r="D1815" s="39"/>
      <c r="E1815" s="44"/>
      <c r="F1815" s="40"/>
      <c r="G1815" s="41">
        <f>SUM(G1816)</f>
        <v>455808600</v>
      </c>
      <c r="H1815" s="42"/>
    </row>
    <row r="1816" spans="1:771 1026:1795 2050:2819 3074:3843 4098:4867 5122:5891 6146:6915 7170:7939 8194:8963 9218:9987 10242:11011 11266:12035 12290:13059 13314:14083 14338:15107 15362:16131" s="35" customFormat="1" ht="78" x14ac:dyDescent="0.3">
      <c r="A1816" s="36"/>
      <c r="B1816" s="72" t="s">
        <v>1411</v>
      </c>
      <c r="C1816" s="48" t="s">
        <v>38</v>
      </c>
      <c r="D1816" s="39" t="s">
        <v>13</v>
      </c>
      <c r="E1816" s="44">
        <f>10.5+12.9</f>
        <v>23.4</v>
      </c>
      <c r="F1816" s="161">
        <v>19479000</v>
      </c>
      <c r="G1816" s="40">
        <f>E1816*F1816</f>
        <v>455808600</v>
      </c>
      <c r="H1816" s="42"/>
    </row>
    <row r="1817" spans="1:771 1026:1795 2050:2819 3074:3843 4098:4867 5122:5891 6146:6915 7170:7939 8194:8963 9218:9987 10242:11011 11266:12035 12290:13059 13314:14083 14338:15107 15362:16131" s="35" customFormat="1" x14ac:dyDescent="0.3">
      <c r="A1817" s="36"/>
      <c r="B1817" s="72" t="s">
        <v>1412</v>
      </c>
      <c r="C1817" s="47" t="s">
        <v>35</v>
      </c>
      <c r="D1817" s="39"/>
      <c r="E1817" s="73"/>
      <c r="F1817" s="40"/>
      <c r="G1817" s="41">
        <f>SUM(G1818:G1821)</f>
        <v>5809230</v>
      </c>
      <c r="H1817" s="45"/>
    </row>
    <row r="1818" spans="1:771 1026:1795 2050:2819 3074:3843 4098:4867 5122:5891 6146:6915 7170:7939 8194:8963 9218:9987 10242:11011 11266:12035 12290:13059 13314:14083 14338:15107 15362:16131" s="35" customFormat="1" ht="46.8" x14ac:dyDescent="0.3">
      <c r="A1818" s="36"/>
      <c r="B1818" s="38"/>
      <c r="C1818" s="66" t="s">
        <v>1415</v>
      </c>
      <c r="D1818" s="39" t="s">
        <v>13</v>
      </c>
      <c r="E1818" s="73">
        <f>((1.46+6.46)/2)*1.4</f>
        <v>5.5439999999999996</v>
      </c>
      <c r="F1818" s="40">
        <v>540000</v>
      </c>
      <c r="G1818" s="40">
        <f>E1818*F1818</f>
        <v>2993760</v>
      </c>
      <c r="H1818" s="20" t="s">
        <v>2375</v>
      </c>
    </row>
    <row r="1819" spans="1:771 1026:1795 2050:2819 3074:3843 4098:4867 5122:5891 6146:6915 7170:7939 8194:8963 9218:9987 10242:11011 11266:12035 12290:13059 13314:14083 14338:15107 15362:16131" s="35" customFormat="1" ht="46.8" x14ac:dyDescent="0.3">
      <c r="A1819" s="36"/>
      <c r="B1819" s="72"/>
      <c r="C1819" s="66" t="s">
        <v>1416</v>
      </c>
      <c r="D1819" s="39" t="s">
        <v>13</v>
      </c>
      <c r="E1819" s="73">
        <f>2*6.46</f>
        <v>12.92</v>
      </c>
      <c r="F1819" s="74">
        <f>540000*40%</f>
        <v>216000</v>
      </c>
      <c r="G1819" s="40">
        <f>E1819*F1819</f>
        <v>2790720</v>
      </c>
      <c r="H1819" s="45" t="s">
        <v>2513</v>
      </c>
    </row>
    <row r="1820" spans="1:771 1026:1795 2050:2819 3074:3843 4098:4867 5122:5891 6146:6915 7170:7939 8194:8963 9218:9987 10242:11011 11266:12035 12290:13059 13314:14083 14338:15107 15362:16131" s="35" customFormat="1" x14ac:dyDescent="0.3">
      <c r="A1820" s="36"/>
      <c r="B1820" s="72"/>
      <c r="C1820" s="66" t="s">
        <v>1417</v>
      </c>
      <c r="D1820" s="39" t="s">
        <v>19</v>
      </c>
      <c r="E1820" s="73">
        <v>3</v>
      </c>
      <c r="F1820" s="74">
        <f>33000/4</f>
        <v>8250</v>
      </c>
      <c r="G1820" s="40">
        <f>E1820*F1820</f>
        <v>24750</v>
      </c>
      <c r="H1820" s="45"/>
    </row>
    <row r="1821" spans="1:771 1026:1795 2050:2819 3074:3843 4098:4867 5122:5891 6146:6915 7170:7939 8194:8963 9218:9987 10242:11011 11266:12035 12290:13059 13314:14083 14338:15107 15362:16131" s="35" customFormat="1" ht="65.400000000000006" thickBot="1" x14ac:dyDescent="0.35">
      <c r="A1821" s="53"/>
      <c r="B1821" s="54"/>
      <c r="C1821" s="55" t="s">
        <v>2331</v>
      </c>
      <c r="D1821" s="56"/>
      <c r="E1821" s="5"/>
      <c r="F1821" s="6"/>
      <c r="G1821" s="57"/>
      <c r="H1821" s="58"/>
    </row>
    <row r="1822" spans="1:771 1026:1795 2050:2819 3074:3843 4098:4867 5122:5891 6146:6915 7170:7939 8194:8963 9218:9987 10242:11011 11266:12035 12290:13059 13314:14083 14338:15107 15362:16131" s="59" customFormat="1" ht="31.8" thickBot="1" x14ac:dyDescent="0.35">
      <c r="A1822" s="154"/>
      <c r="B1822" s="155" t="s">
        <v>26</v>
      </c>
      <c r="C1822" s="156"/>
      <c r="D1822" s="154"/>
      <c r="E1822" s="157"/>
      <c r="F1822" s="158"/>
      <c r="G1822" s="159">
        <f>SUM(G1814:G1821)/2</f>
        <v>461617830</v>
      </c>
      <c r="H1822" s="160"/>
      <c r="IX1822" s="35"/>
      <c r="IY1822" s="35"/>
      <c r="ST1822" s="35"/>
      <c r="SU1822" s="35"/>
      <c r="ACP1822" s="35"/>
      <c r="ACQ1822" s="35"/>
      <c r="AML1822" s="35"/>
      <c r="AMM1822" s="35"/>
      <c r="AWH1822" s="35"/>
      <c r="AWI1822" s="35"/>
      <c r="BGD1822" s="35"/>
      <c r="BGE1822" s="35"/>
      <c r="BPZ1822" s="35"/>
      <c r="BQA1822" s="35"/>
      <c r="BZV1822" s="35"/>
      <c r="BZW1822" s="35"/>
      <c r="CJR1822" s="35"/>
      <c r="CJS1822" s="35"/>
      <c r="CTN1822" s="35"/>
      <c r="CTO1822" s="35"/>
      <c r="DDJ1822" s="35"/>
      <c r="DDK1822" s="35"/>
      <c r="DNF1822" s="35"/>
      <c r="DNG1822" s="35"/>
      <c r="DXB1822" s="35"/>
      <c r="DXC1822" s="35"/>
      <c r="EGX1822" s="35"/>
      <c r="EGY1822" s="35"/>
      <c r="EQT1822" s="35"/>
      <c r="EQU1822" s="35"/>
      <c r="FAP1822" s="35"/>
      <c r="FAQ1822" s="35"/>
      <c r="FKL1822" s="35"/>
      <c r="FKM1822" s="35"/>
      <c r="FUH1822" s="35"/>
      <c r="FUI1822" s="35"/>
      <c r="GED1822" s="35"/>
      <c r="GEE1822" s="35"/>
      <c r="GNZ1822" s="35"/>
      <c r="GOA1822" s="35"/>
      <c r="GXV1822" s="35"/>
      <c r="GXW1822" s="35"/>
      <c r="HHR1822" s="35"/>
      <c r="HHS1822" s="35"/>
      <c r="HRN1822" s="35"/>
      <c r="HRO1822" s="35"/>
      <c r="IBJ1822" s="35"/>
      <c r="IBK1822" s="35"/>
      <c r="ILF1822" s="35"/>
      <c r="ILG1822" s="35"/>
      <c r="IVB1822" s="35"/>
      <c r="IVC1822" s="35"/>
      <c r="JEX1822" s="35"/>
      <c r="JEY1822" s="35"/>
      <c r="JOT1822" s="35"/>
      <c r="JOU1822" s="35"/>
      <c r="JYP1822" s="35"/>
      <c r="JYQ1822" s="35"/>
      <c r="KIL1822" s="35"/>
      <c r="KIM1822" s="35"/>
      <c r="KSH1822" s="35"/>
      <c r="KSI1822" s="35"/>
      <c r="LCD1822" s="35"/>
      <c r="LCE1822" s="35"/>
      <c r="LLZ1822" s="35"/>
      <c r="LMA1822" s="35"/>
      <c r="LVV1822" s="35"/>
      <c r="LVW1822" s="35"/>
      <c r="MFR1822" s="35"/>
      <c r="MFS1822" s="35"/>
      <c r="MPN1822" s="35"/>
      <c r="MPO1822" s="35"/>
      <c r="MZJ1822" s="35"/>
      <c r="MZK1822" s="35"/>
      <c r="NJF1822" s="35"/>
      <c r="NJG1822" s="35"/>
      <c r="NTB1822" s="35"/>
      <c r="NTC1822" s="35"/>
      <c r="OCX1822" s="35"/>
      <c r="OCY1822" s="35"/>
      <c r="OMT1822" s="35"/>
      <c r="OMU1822" s="35"/>
      <c r="OWP1822" s="35"/>
      <c r="OWQ1822" s="35"/>
      <c r="PGL1822" s="35"/>
      <c r="PGM1822" s="35"/>
      <c r="PQH1822" s="35"/>
      <c r="PQI1822" s="35"/>
      <c r="QAD1822" s="35"/>
      <c r="QAE1822" s="35"/>
      <c r="QJZ1822" s="35"/>
      <c r="QKA1822" s="35"/>
      <c r="QTV1822" s="35"/>
      <c r="QTW1822" s="35"/>
      <c r="RDR1822" s="35"/>
      <c r="RDS1822" s="35"/>
      <c r="RNN1822" s="35"/>
      <c r="RNO1822" s="35"/>
      <c r="RXJ1822" s="35"/>
      <c r="RXK1822" s="35"/>
      <c r="SHF1822" s="35"/>
      <c r="SHG1822" s="35"/>
      <c r="SRB1822" s="35"/>
      <c r="SRC1822" s="35"/>
      <c r="TAX1822" s="35"/>
      <c r="TAY1822" s="35"/>
      <c r="TKT1822" s="35"/>
      <c r="TKU1822" s="35"/>
      <c r="TUP1822" s="35"/>
      <c r="TUQ1822" s="35"/>
      <c r="UEL1822" s="35"/>
      <c r="UEM1822" s="35"/>
      <c r="UOH1822" s="35"/>
      <c r="UOI1822" s="35"/>
      <c r="UYD1822" s="35"/>
      <c r="UYE1822" s="35"/>
      <c r="VHZ1822" s="35"/>
      <c r="VIA1822" s="35"/>
      <c r="VRV1822" s="35"/>
      <c r="VRW1822" s="35"/>
      <c r="WBR1822" s="35"/>
      <c r="WBS1822" s="35"/>
      <c r="WLN1822" s="35"/>
      <c r="WLO1822" s="35"/>
      <c r="WVJ1822" s="35"/>
      <c r="WVK1822" s="35"/>
    </row>
    <row r="1823" spans="1:771 1026:1795 2050:2819 3074:3843 4098:4867 5122:5891 6146:6915 7170:7939 8194:8963 9218:9987 10242:11011 11266:12035 12290:13059 13314:14083 14338:15107 15362:16131" s="35" customFormat="1" ht="55.2" x14ac:dyDescent="0.3">
      <c r="A1823" s="28">
        <v>170</v>
      </c>
      <c r="B1823" s="29" t="s">
        <v>1418</v>
      </c>
      <c r="C1823" s="30" t="s">
        <v>2241</v>
      </c>
      <c r="D1823" s="31" t="s">
        <v>13</v>
      </c>
      <c r="E1823" s="32">
        <v>64.7</v>
      </c>
      <c r="F1823" s="33"/>
      <c r="G1823" s="33"/>
      <c r="H1823" s="34" t="s">
        <v>1422</v>
      </c>
    </row>
    <row r="1824" spans="1:771 1026:1795 2050:2819 3074:3843 4098:4867 5122:5891 6146:6915 7170:7939 8194:8963 9218:9987 10242:11011 11266:12035 12290:13059 13314:14083 14338:15107 15362:16131" s="35" customFormat="1" x14ac:dyDescent="0.3">
      <c r="A1824" s="36"/>
      <c r="B1824" s="72" t="s">
        <v>1419</v>
      </c>
      <c r="C1824" s="38" t="s">
        <v>14</v>
      </c>
      <c r="D1824" s="39"/>
      <c r="E1824" s="44"/>
      <c r="F1824" s="40"/>
      <c r="G1824" s="41">
        <f>SUM(G1825)</f>
        <v>1260291300</v>
      </c>
      <c r="H1824" s="42"/>
    </row>
    <row r="1825" spans="1:8" s="35" customFormat="1" ht="78" x14ac:dyDescent="0.3">
      <c r="A1825" s="36"/>
      <c r="B1825" s="72" t="s">
        <v>1420</v>
      </c>
      <c r="C1825" s="48" t="s">
        <v>38</v>
      </c>
      <c r="D1825" s="39" t="s">
        <v>13</v>
      </c>
      <c r="E1825" s="44">
        <v>64.7</v>
      </c>
      <c r="F1825" s="161">
        <v>19479000</v>
      </c>
      <c r="G1825" s="40">
        <f>E1825*F1825</f>
        <v>1260291300</v>
      </c>
      <c r="H1825" s="42"/>
    </row>
    <row r="1826" spans="1:8" s="35" customFormat="1" x14ac:dyDescent="0.3">
      <c r="A1826" s="36"/>
      <c r="B1826" s="72" t="s">
        <v>1421</v>
      </c>
      <c r="C1826" s="47" t="s">
        <v>35</v>
      </c>
      <c r="D1826" s="39"/>
      <c r="E1826" s="73"/>
      <c r="F1826" s="40"/>
      <c r="G1826" s="41">
        <f>SUM(G1827:G1832)</f>
        <v>10127989.08</v>
      </c>
      <c r="H1826" s="45"/>
    </row>
    <row r="1827" spans="1:8" s="35" customFormat="1" ht="69" x14ac:dyDescent="0.3">
      <c r="A1827" s="36"/>
      <c r="B1827" s="38"/>
      <c r="C1827" s="101" t="s">
        <v>1424</v>
      </c>
      <c r="D1827" s="39" t="s">
        <v>13</v>
      </c>
      <c r="E1827" s="73">
        <f>2.05*3.37</f>
        <v>6.9084999999999992</v>
      </c>
      <c r="F1827" s="40">
        <f>907000*40%</f>
        <v>362800</v>
      </c>
      <c r="G1827" s="40">
        <f t="shared" ref="G1827:G1832" si="27">E1827*F1827</f>
        <v>2506403.7999999998</v>
      </c>
      <c r="H1827" s="45" t="s">
        <v>2514</v>
      </c>
    </row>
    <row r="1828" spans="1:8" s="35" customFormat="1" ht="69" x14ac:dyDescent="0.3">
      <c r="A1828" s="36"/>
      <c r="B1828" s="72"/>
      <c r="C1828" s="101" t="s">
        <v>1423</v>
      </c>
      <c r="D1828" s="39" t="s">
        <v>13</v>
      </c>
      <c r="E1828" s="73">
        <f>(2.09*4.44)-(1.8*2.09)</f>
        <v>5.5175999999999998</v>
      </c>
      <c r="F1828" s="74">
        <f>907000*40%</f>
        <v>362800</v>
      </c>
      <c r="G1828" s="40">
        <f t="shared" si="27"/>
        <v>2001785.28</v>
      </c>
      <c r="H1828" s="45" t="s">
        <v>2515</v>
      </c>
    </row>
    <row r="1829" spans="1:8" s="35" customFormat="1" ht="41.4" x14ac:dyDescent="0.3">
      <c r="A1829" s="36"/>
      <c r="B1829" s="72"/>
      <c r="C1829" s="101" t="s">
        <v>1425</v>
      </c>
      <c r="D1829" s="39" t="s">
        <v>13</v>
      </c>
      <c r="E1829" s="73">
        <f>7.2</f>
        <v>7.2</v>
      </c>
      <c r="F1829" s="74">
        <f>540000*40%</f>
        <v>216000</v>
      </c>
      <c r="G1829" s="40">
        <f t="shared" si="27"/>
        <v>1555200</v>
      </c>
      <c r="H1829" s="45" t="s">
        <v>2516</v>
      </c>
    </row>
    <row r="1830" spans="1:8" s="35" customFormat="1" ht="46.8" x14ac:dyDescent="0.3">
      <c r="A1830" s="36"/>
      <c r="B1830" s="72"/>
      <c r="C1830" s="66" t="s">
        <v>1426</v>
      </c>
      <c r="D1830" s="39" t="s">
        <v>13</v>
      </c>
      <c r="E1830" s="73">
        <f>2.3*2</f>
        <v>4.5999999999999996</v>
      </c>
      <c r="F1830" s="74">
        <f>540000*40%</f>
        <v>216000</v>
      </c>
      <c r="G1830" s="40">
        <f t="shared" si="27"/>
        <v>993599.99999999988</v>
      </c>
      <c r="H1830" s="45" t="s">
        <v>2517</v>
      </c>
    </row>
    <row r="1831" spans="1:8" s="35" customFormat="1" ht="18.600000000000001" x14ac:dyDescent="0.3">
      <c r="A1831" s="36"/>
      <c r="B1831" s="72"/>
      <c r="C1831" s="66" t="s">
        <v>362</v>
      </c>
      <c r="D1831" s="39" t="s">
        <v>13</v>
      </c>
      <c r="E1831" s="73">
        <f>5.3*2</f>
        <v>10.6</v>
      </c>
      <c r="F1831" s="74">
        <v>258000</v>
      </c>
      <c r="G1831" s="40">
        <f t="shared" si="27"/>
        <v>2734800</v>
      </c>
      <c r="H1831" s="45"/>
    </row>
    <row r="1832" spans="1:8" s="35" customFormat="1" ht="18.600000000000001" x14ac:dyDescent="0.3">
      <c r="A1832" s="36"/>
      <c r="B1832" s="72"/>
      <c r="C1832" s="66" t="s">
        <v>18</v>
      </c>
      <c r="D1832" s="39" t="s">
        <v>13</v>
      </c>
      <c r="E1832" s="73">
        <v>8.1999999999999993</v>
      </c>
      <c r="F1832" s="40">
        <v>41000</v>
      </c>
      <c r="G1832" s="40">
        <f t="shared" si="27"/>
        <v>336199.99999999994</v>
      </c>
      <c r="H1832" s="45"/>
    </row>
    <row r="1833" spans="1:8" s="109" customFormat="1" x14ac:dyDescent="0.3">
      <c r="A1833" s="36"/>
      <c r="B1833" s="64"/>
      <c r="C1833" s="51" t="s">
        <v>20</v>
      </c>
      <c r="D1833" s="36"/>
      <c r="E1833" s="107"/>
      <c r="F1833" s="41"/>
      <c r="G1833" s="41">
        <f>SUM(G1834:G1840)</f>
        <v>2099000</v>
      </c>
      <c r="H1833" s="108"/>
    </row>
    <row r="1834" spans="1:8" s="77" customFormat="1" x14ac:dyDescent="0.3">
      <c r="A1834" s="36"/>
      <c r="B1834" s="37"/>
      <c r="C1834" s="75" t="s">
        <v>1429</v>
      </c>
      <c r="D1834" s="76" t="s">
        <v>22</v>
      </c>
      <c r="E1834" s="73">
        <v>4</v>
      </c>
      <c r="F1834" s="74">
        <v>4000</v>
      </c>
      <c r="G1834" s="40">
        <f t="shared" ref="G1834:G1840" si="28">E1834*F1834</f>
        <v>16000</v>
      </c>
      <c r="H1834" s="52"/>
    </row>
    <row r="1835" spans="1:8" s="77" customFormat="1" x14ac:dyDescent="0.3">
      <c r="A1835" s="36"/>
      <c r="B1835" s="37"/>
      <c r="C1835" s="75" t="s">
        <v>195</v>
      </c>
      <c r="D1835" s="76" t="s">
        <v>22</v>
      </c>
      <c r="E1835" s="73">
        <v>2</v>
      </c>
      <c r="F1835" s="74">
        <v>40000</v>
      </c>
      <c r="G1835" s="40">
        <f t="shared" si="28"/>
        <v>80000</v>
      </c>
      <c r="H1835" s="52"/>
    </row>
    <row r="1836" spans="1:8" s="77" customFormat="1" x14ac:dyDescent="0.3">
      <c r="A1836" s="36"/>
      <c r="B1836" s="37"/>
      <c r="C1836" s="75" t="s">
        <v>1292</v>
      </c>
      <c r="D1836" s="76" t="s">
        <v>22</v>
      </c>
      <c r="E1836" s="73">
        <v>2</v>
      </c>
      <c r="F1836" s="74">
        <v>20000</v>
      </c>
      <c r="G1836" s="40">
        <f t="shared" si="28"/>
        <v>40000</v>
      </c>
      <c r="H1836" s="52"/>
    </row>
    <row r="1837" spans="1:8" s="77" customFormat="1" x14ac:dyDescent="0.3">
      <c r="A1837" s="36"/>
      <c r="B1837" s="37"/>
      <c r="C1837" s="75" t="s">
        <v>1427</v>
      </c>
      <c r="D1837" s="76" t="s">
        <v>21</v>
      </c>
      <c r="E1837" s="73">
        <v>1</v>
      </c>
      <c r="F1837" s="74">
        <v>1089000</v>
      </c>
      <c r="G1837" s="40">
        <f t="shared" si="28"/>
        <v>1089000</v>
      </c>
      <c r="H1837" s="52"/>
    </row>
    <row r="1838" spans="1:8" s="77" customFormat="1" x14ac:dyDescent="0.3">
      <c r="A1838" s="36"/>
      <c r="B1838" s="37"/>
      <c r="C1838" s="75" t="s">
        <v>1428</v>
      </c>
      <c r="D1838" s="76" t="s">
        <v>21</v>
      </c>
      <c r="E1838" s="73">
        <v>1</v>
      </c>
      <c r="F1838" s="74">
        <v>600000</v>
      </c>
      <c r="G1838" s="40">
        <f t="shared" si="28"/>
        <v>600000</v>
      </c>
      <c r="H1838" s="52"/>
    </row>
    <row r="1839" spans="1:8" s="77" customFormat="1" x14ac:dyDescent="0.3">
      <c r="A1839" s="36"/>
      <c r="B1839" s="37"/>
      <c r="C1839" s="75" t="s">
        <v>2347</v>
      </c>
      <c r="D1839" s="76" t="s">
        <v>21</v>
      </c>
      <c r="E1839" s="73">
        <v>1</v>
      </c>
      <c r="F1839" s="74">
        <v>240000</v>
      </c>
      <c r="G1839" s="40">
        <f t="shared" si="28"/>
        <v>240000</v>
      </c>
      <c r="H1839" s="52"/>
    </row>
    <row r="1840" spans="1:8" s="77" customFormat="1" x14ac:dyDescent="0.3">
      <c r="A1840" s="36"/>
      <c r="B1840" s="37"/>
      <c r="C1840" s="75" t="s">
        <v>2348</v>
      </c>
      <c r="D1840" s="76" t="s">
        <v>21</v>
      </c>
      <c r="E1840" s="73">
        <v>1</v>
      </c>
      <c r="F1840" s="74">
        <v>34000</v>
      </c>
      <c r="G1840" s="40">
        <f t="shared" si="28"/>
        <v>34000</v>
      </c>
      <c r="H1840" s="52"/>
    </row>
    <row r="1841" spans="1:771 1026:1795 2050:2819 3074:3843 4098:4867 5122:5891 6146:6915 7170:7939 8194:8963 9218:9987 10242:11011 11266:12035 12290:13059 13314:14083 14338:15107 15362:16131" s="35" customFormat="1" ht="65.400000000000006" thickBot="1" x14ac:dyDescent="0.35">
      <c r="A1841" s="53"/>
      <c r="B1841" s="54"/>
      <c r="C1841" s="55" t="s">
        <v>2331</v>
      </c>
      <c r="D1841" s="56"/>
      <c r="E1841" s="5"/>
      <c r="F1841" s="6"/>
      <c r="G1841" s="57"/>
      <c r="H1841" s="58"/>
    </row>
    <row r="1842" spans="1:771 1026:1795 2050:2819 3074:3843 4098:4867 5122:5891 6146:6915 7170:7939 8194:8963 9218:9987 10242:11011 11266:12035 12290:13059 13314:14083 14338:15107 15362:16131" s="59" customFormat="1" ht="31.8" thickBot="1" x14ac:dyDescent="0.35">
      <c r="A1842" s="154"/>
      <c r="B1842" s="155" t="s">
        <v>26</v>
      </c>
      <c r="C1842" s="156"/>
      <c r="D1842" s="154"/>
      <c r="E1842" s="157"/>
      <c r="F1842" s="158"/>
      <c r="G1842" s="159">
        <f>SUM(G1823:G1841)/2</f>
        <v>1272518289.0800002</v>
      </c>
      <c r="H1842" s="160"/>
      <c r="IX1842" s="35"/>
      <c r="IY1842" s="35"/>
      <c r="ST1842" s="35"/>
      <c r="SU1842" s="35"/>
      <c r="ACP1842" s="35"/>
      <c r="ACQ1842" s="35"/>
      <c r="AML1842" s="35"/>
      <c r="AMM1842" s="35"/>
      <c r="AWH1842" s="35"/>
      <c r="AWI1842" s="35"/>
      <c r="BGD1842" s="35"/>
      <c r="BGE1842" s="35"/>
      <c r="BPZ1842" s="35"/>
      <c r="BQA1842" s="35"/>
      <c r="BZV1842" s="35"/>
      <c r="BZW1842" s="35"/>
      <c r="CJR1842" s="35"/>
      <c r="CJS1842" s="35"/>
      <c r="CTN1842" s="35"/>
      <c r="CTO1842" s="35"/>
      <c r="DDJ1842" s="35"/>
      <c r="DDK1842" s="35"/>
      <c r="DNF1842" s="35"/>
      <c r="DNG1842" s="35"/>
      <c r="DXB1842" s="35"/>
      <c r="DXC1842" s="35"/>
      <c r="EGX1842" s="35"/>
      <c r="EGY1842" s="35"/>
      <c r="EQT1842" s="35"/>
      <c r="EQU1842" s="35"/>
      <c r="FAP1842" s="35"/>
      <c r="FAQ1842" s="35"/>
      <c r="FKL1842" s="35"/>
      <c r="FKM1842" s="35"/>
      <c r="FUH1842" s="35"/>
      <c r="FUI1842" s="35"/>
      <c r="GED1842" s="35"/>
      <c r="GEE1842" s="35"/>
      <c r="GNZ1842" s="35"/>
      <c r="GOA1842" s="35"/>
      <c r="GXV1842" s="35"/>
      <c r="GXW1842" s="35"/>
      <c r="HHR1842" s="35"/>
      <c r="HHS1842" s="35"/>
      <c r="HRN1842" s="35"/>
      <c r="HRO1842" s="35"/>
      <c r="IBJ1842" s="35"/>
      <c r="IBK1842" s="35"/>
      <c r="ILF1842" s="35"/>
      <c r="ILG1842" s="35"/>
      <c r="IVB1842" s="35"/>
      <c r="IVC1842" s="35"/>
      <c r="JEX1842" s="35"/>
      <c r="JEY1842" s="35"/>
      <c r="JOT1842" s="35"/>
      <c r="JOU1842" s="35"/>
      <c r="JYP1842" s="35"/>
      <c r="JYQ1842" s="35"/>
      <c r="KIL1842" s="35"/>
      <c r="KIM1842" s="35"/>
      <c r="KSH1842" s="35"/>
      <c r="KSI1842" s="35"/>
      <c r="LCD1842" s="35"/>
      <c r="LCE1842" s="35"/>
      <c r="LLZ1842" s="35"/>
      <c r="LMA1842" s="35"/>
      <c r="LVV1842" s="35"/>
      <c r="LVW1842" s="35"/>
      <c r="MFR1842" s="35"/>
      <c r="MFS1842" s="35"/>
      <c r="MPN1842" s="35"/>
      <c r="MPO1842" s="35"/>
      <c r="MZJ1842" s="35"/>
      <c r="MZK1842" s="35"/>
      <c r="NJF1842" s="35"/>
      <c r="NJG1842" s="35"/>
      <c r="NTB1842" s="35"/>
      <c r="NTC1842" s="35"/>
      <c r="OCX1842" s="35"/>
      <c r="OCY1842" s="35"/>
      <c r="OMT1842" s="35"/>
      <c r="OMU1842" s="35"/>
      <c r="OWP1842" s="35"/>
      <c r="OWQ1842" s="35"/>
      <c r="PGL1842" s="35"/>
      <c r="PGM1842" s="35"/>
      <c r="PQH1842" s="35"/>
      <c r="PQI1842" s="35"/>
      <c r="QAD1842" s="35"/>
      <c r="QAE1842" s="35"/>
      <c r="QJZ1842" s="35"/>
      <c r="QKA1842" s="35"/>
      <c r="QTV1842" s="35"/>
      <c r="QTW1842" s="35"/>
      <c r="RDR1842" s="35"/>
      <c r="RDS1842" s="35"/>
      <c r="RNN1842" s="35"/>
      <c r="RNO1842" s="35"/>
      <c r="RXJ1842" s="35"/>
      <c r="RXK1842" s="35"/>
      <c r="SHF1842" s="35"/>
      <c r="SHG1842" s="35"/>
      <c r="SRB1842" s="35"/>
      <c r="SRC1842" s="35"/>
      <c r="TAX1842" s="35"/>
      <c r="TAY1842" s="35"/>
      <c r="TKT1842" s="35"/>
      <c r="TKU1842" s="35"/>
      <c r="TUP1842" s="35"/>
      <c r="TUQ1842" s="35"/>
      <c r="UEL1842" s="35"/>
      <c r="UEM1842" s="35"/>
      <c r="UOH1842" s="35"/>
      <c r="UOI1842" s="35"/>
      <c r="UYD1842" s="35"/>
      <c r="UYE1842" s="35"/>
      <c r="VHZ1842" s="35"/>
      <c r="VIA1842" s="35"/>
      <c r="VRV1842" s="35"/>
      <c r="VRW1842" s="35"/>
      <c r="WBR1842" s="35"/>
      <c r="WBS1842" s="35"/>
      <c r="WLN1842" s="35"/>
      <c r="WLO1842" s="35"/>
      <c r="WVJ1842" s="35"/>
      <c r="WVK1842" s="35"/>
    </row>
    <row r="1843" spans="1:771 1026:1795 2050:2819 3074:3843 4098:4867 5122:5891 6146:6915 7170:7939 8194:8963 9218:9987 10242:11011 11266:12035 12290:13059 13314:14083 14338:15107 15362:16131" s="35" customFormat="1" ht="55.2" x14ac:dyDescent="0.3">
      <c r="A1843" s="28">
        <v>171</v>
      </c>
      <c r="B1843" s="29" t="s">
        <v>1430</v>
      </c>
      <c r="C1843" s="30" t="s">
        <v>1434</v>
      </c>
      <c r="D1843" s="31" t="s">
        <v>13</v>
      </c>
      <c r="E1843" s="32">
        <v>10.7</v>
      </c>
      <c r="F1843" s="33"/>
      <c r="G1843" s="33"/>
      <c r="H1843" s="34" t="s">
        <v>1433</v>
      </c>
    </row>
    <row r="1844" spans="1:771 1026:1795 2050:2819 3074:3843 4098:4867 5122:5891 6146:6915 7170:7939 8194:8963 9218:9987 10242:11011 11266:12035 12290:13059 13314:14083 14338:15107 15362:16131" s="35" customFormat="1" x14ac:dyDescent="0.3">
      <c r="A1844" s="36"/>
      <c r="B1844" s="72" t="s">
        <v>1431</v>
      </c>
      <c r="C1844" s="38" t="s">
        <v>14</v>
      </c>
      <c r="D1844" s="39"/>
      <c r="E1844" s="44"/>
      <c r="F1844" s="40"/>
      <c r="G1844" s="41">
        <f>SUM(G1845)</f>
        <v>111322800</v>
      </c>
      <c r="H1844" s="42"/>
    </row>
    <row r="1845" spans="1:771 1026:1795 2050:2819 3074:3843 4098:4867 5122:5891 6146:6915 7170:7939 8194:8963 9218:9987 10242:11011 11266:12035 12290:13059 13314:14083 14338:15107 15362:16131" s="35" customFormat="1" ht="78" x14ac:dyDescent="0.3">
      <c r="A1845" s="36"/>
      <c r="B1845" s="72" t="s">
        <v>1432</v>
      </c>
      <c r="C1845" s="43" t="s">
        <v>55</v>
      </c>
      <c r="D1845" s="39" t="s">
        <v>13</v>
      </c>
      <c r="E1845" s="44">
        <v>10.7</v>
      </c>
      <c r="F1845" s="153">
        <v>10404000</v>
      </c>
      <c r="G1845" s="40">
        <f>E1845*F1845</f>
        <v>111322800</v>
      </c>
      <c r="H1845" s="42"/>
    </row>
    <row r="1846" spans="1:771 1026:1795 2050:2819 3074:3843 4098:4867 5122:5891 6146:6915 7170:7939 8194:8963 9218:9987 10242:11011 11266:12035 12290:13059 13314:14083 14338:15107 15362:16131" s="35" customFormat="1" x14ac:dyDescent="0.3">
      <c r="A1846" s="36"/>
      <c r="B1846" s="38"/>
      <c r="C1846" s="47" t="s">
        <v>35</v>
      </c>
      <c r="D1846" s="39"/>
      <c r="E1846" s="73"/>
      <c r="F1846" s="40"/>
      <c r="G1846" s="41">
        <f>SUM(G1847:G1848)</f>
        <v>0</v>
      </c>
      <c r="H1846" s="45"/>
    </row>
    <row r="1847" spans="1:771 1026:1795 2050:2819 3074:3843 4098:4867 5122:5891 6146:6915 7170:7939 8194:8963 9218:9987 10242:11011 11266:12035 12290:13059 13314:14083 14338:15107 15362:16131" s="35" customFormat="1" ht="46.8" x14ac:dyDescent="0.3">
      <c r="A1847" s="36"/>
      <c r="B1847" s="72"/>
      <c r="C1847" s="66" t="s">
        <v>1435</v>
      </c>
      <c r="D1847" s="39" t="s">
        <v>13</v>
      </c>
      <c r="E1847" s="73">
        <f>(((2.04+2.05)*5)/2)-0.9</f>
        <v>9.3249999999999993</v>
      </c>
      <c r="F1847" s="74"/>
      <c r="G1847" s="40">
        <f>E1847*F1847</f>
        <v>0</v>
      </c>
      <c r="H1847" s="45" t="s">
        <v>2518</v>
      </c>
    </row>
    <row r="1848" spans="1:771 1026:1795 2050:2819 3074:3843 4098:4867 5122:5891 6146:6915 7170:7939 8194:8963 9218:9987 10242:11011 11266:12035 12290:13059 13314:14083 14338:15107 15362:16131" s="35" customFormat="1" ht="46.8" x14ac:dyDescent="0.3">
      <c r="A1848" s="36"/>
      <c r="B1848" s="72"/>
      <c r="C1848" s="66" t="s">
        <v>1426</v>
      </c>
      <c r="D1848" s="39" t="s">
        <v>13</v>
      </c>
      <c r="E1848" s="73">
        <f>2.3*2</f>
        <v>4.5999999999999996</v>
      </c>
      <c r="F1848" s="74"/>
      <c r="G1848" s="40">
        <f>E1848*F1848</f>
        <v>0</v>
      </c>
      <c r="H1848" s="45" t="s">
        <v>2519</v>
      </c>
    </row>
    <row r="1849" spans="1:771 1026:1795 2050:2819 3074:3843 4098:4867 5122:5891 6146:6915 7170:7939 8194:8963 9218:9987 10242:11011 11266:12035 12290:13059 13314:14083 14338:15107 15362:16131" s="35" customFormat="1" x14ac:dyDescent="0.3">
      <c r="A1849" s="36"/>
      <c r="B1849" s="46"/>
      <c r="C1849" s="51" t="s">
        <v>23</v>
      </c>
      <c r="D1849" s="39"/>
      <c r="E1849" s="1"/>
      <c r="F1849" s="2"/>
      <c r="G1849" s="41">
        <f>SUM(G1850)</f>
        <v>3060000</v>
      </c>
      <c r="H1849" s="52"/>
    </row>
    <row r="1850" spans="1:771 1026:1795 2050:2819 3074:3843 4098:4867 5122:5891 6146:6915 7170:7939 8194:8963 9218:9987 10242:11011 11266:12035 12290:13059 13314:14083 14338:15107 15362:16131" s="35" customFormat="1" x14ac:dyDescent="0.3">
      <c r="A1850" s="36"/>
      <c r="B1850" s="46"/>
      <c r="C1850" s="50" t="s">
        <v>24</v>
      </c>
      <c r="D1850" s="39" t="s">
        <v>25</v>
      </c>
      <c r="E1850" s="1">
        <f>1*30*6</f>
        <v>180</v>
      </c>
      <c r="F1850" s="2">
        <v>17000</v>
      </c>
      <c r="G1850" s="40">
        <f>E1850*F1850</f>
        <v>3060000</v>
      </c>
      <c r="H1850" s="42"/>
    </row>
    <row r="1851" spans="1:771 1026:1795 2050:2819 3074:3843 4098:4867 5122:5891 6146:6915 7170:7939 8194:8963 9218:9987 10242:11011 11266:12035 12290:13059 13314:14083 14338:15107 15362:16131" s="35" customFormat="1" ht="65.400000000000006" thickBot="1" x14ac:dyDescent="0.35">
      <c r="A1851" s="53"/>
      <c r="B1851" s="54"/>
      <c r="C1851" s="55" t="s">
        <v>2331</v>
      </c>
      <c r="D1851" s="56"/>
      <c r="E1851" s="5"/>
      <c r="F1851" s="6"/>
      <c r="G1851" s="57"/>
      <c r="H1851" s="58"/>
    </row>
    <row r="1852" spans="1:771 1026:1795 2050:2819 3074:3843 4098:4867 5122:5891 6146:6915 7170:7939 8194:8963 9218:9987 10242:11011 11266:12035 12290:13059 13314:14083 14338:15107 15362:16131" s="59" customFormat="1" ht="31.8" thickBot="1" x14ac:dyDescent="0.35">
      <c r="A1852" s="154"/>
      <c r="B1852" s="155" t="s">
        <v>26</v>
      </c>
      <c r="C1852" s="156"/>
      <c r="D1852" s="154"/>
      <c r="E1852" s="157"/>
      <c r="F1852" s="158"/>
      <c r="G1852" s="159">
        <f>SUM(G1843:G1851)/2</f>
        <v>114382800</v>
      </c>
      <c r="H1852" s="160"/>
      <c r="IX1852" s="35"/>
      <c r="IY1852" s="35"/>
      <c r="ST1852" s="35"/>
      <c r="SU1852" s="35"/>
      <c r="ACP1852" s="35"/>
      <c r="ACQ1852" s="35"/>
      <c r="AML1852" s="35"/>
      <c r="AMM1852" s="35"/>
      <c r="AWH1852" s="35"/>
      <c r="AWI1852" s="35"/>
      <c r="BGD1852" s="35"/>
      <c r="BGE1852" s="35"/>
      <c r="BPZ1852" s="35"/>
      <c r="BQA1852" s="35"/>
      <c r="BZV1852" s="35"/>
      <c r="BZW1852" s="35"/>
      <c r="CJR1852" s="35"/>
      <c r="CJS1852" s="35"/>
      <c r="CTN1852" s="35"/>
      <c r="CTO1852" s="35"/>
      <c r="DDJ1852" s="35"/>
      <c r="DDK1852" s="35"/>
      <c r="DNF1852" s="35"/>
      <c r="DNG1852" s="35"/>
      <c r="DXB1852" s="35"/>
      <c r="DXC1852" s="35"/>
      <c r="EGX1852" s="35"/>
      <c r="EGY1852" s="35"/>
      <c r="EQT1852" s="35"/>
      <c r="EQU1852" s="35"/>
      <c r="FAP1852" s="35"/>
      <c r="FAQ1852" s="35"/>
      <c r="FKL1852" s="35"/>
      <c r="FKM1852" s="35"/>
      <c r="FUH1852" s="35"/>
      <c r="FUI1852" s="35"/>
      <c r="GED1852" s="35"/>
      <c r="GEE1852" s="35"/>
      <c r="GNZ1852" s="35"/>
      <c r="GOA1852" s="35"/>
      <c r="GXV1852" s="35"/>
      <c r="GXW1852" s="35"/>
      <c r="HHR1852" s="35"/>
      <c r="HHS1852" s="35"/>
      <c r="HRN1852" s="35"/>
      <c r="HRO1852" s="35"/>
      <c r="IBJ1852" s="35"/>
      <c r="IBK1852" s="35"/>
      <c r="ILF1852" s="35"/>
      <c r="ILG1852" s="35"/>
      <c r="IVB1852" s="35"/>
      <c r="IVC1852" s="35"/>
      <c r="JEX1852" s="35"/>
      <c r="JEY1852" s="35"/>
      <c r="JOT1852" s="35"/>
      <c r="JOU1852" s="35"/>
      <c r="JYP1852" s="35"/>
      <c r="JYQ1852" s="35"/>
      <c r="KIL1852" s="35"/>
      <c r="KIM1852" s="35"/>
      <c r="KSH1852" s="35"/>
      <c r="KSI1852" s="35"/>
      <c r="LCD1852" s="35"/>
      <c r="LCE1852" s="35"/>
      <c r="LLZ1852" s="35"/>
      <c r="LMA1852" s="35"/>
      <c r="LVV1852" s="35"/>
      <c r="LVW1852" s="35"/>
      <c r="MFR1852" s="35"/>
      <c r="MFS1852" s="35"/>
      <c r="MPN1852" s="35"/>
      <c r="MPO1852" s="35"/>
      <c r="MZJ1852" s="35"/>
      <c r="MZK1852" s="35"/>
      <c r="NJF1852" s="35"/>
      <c r="NJG1852" s="35"/>
      <c r="NTB1852" s="35"/>
      <c r="NTC1852" s="35"/>
      <c r="OCX1852" s="35"/>
      <c r="OCY1852" s="35"/>
      <c r="OMT1852" s="35"/>
      <c r="OMU1852" s="35"/>
      <c r="OWP1852" s="35"/>
      <c r="OWQ1852" s="35"/>
      <c r="PGL1852" s="35"/>
      <c r="PGM1852" s="35"/>
      <c r="PQH1852" s="35"/>
      <c r="PQI1852" s="35"/>
      <c r="QAD1852" s="35"/>
      <c r="QAE1852" s="35"/>
      <c r="QJZ1852" s="35"/>
      <c r="QKA1852" s="35"/>
      <c r="QTV1852" s="35"/>
      <c r="QTW1852" s="35"/>
      <c r="RDR1852" s="35"/>
      <c r="RDS1852" s="35"/>
      <c r="RNN1852" s="35"/>
      <c r="RNO1852" s="35"/>
      <c r="RXJ1852" s="35"/>
      <c r="RXK1852" s="35"/>
      <c r="SHF1852" s="35"/>
      <c r="SHG1852" s="35"/>
      <c r="SRB1852" s="35"/>
      <c r="SRC1852" s="35"/>
      <c r="TAX1852" s="35"/>
      <c r="TAY1852" s="35"/>
      <c r="TKT1852" s="35"/>
      <c r="TKU1852" s="35"/>
      <c r="TUP1852" s="35"/>
      <c r="TUQ1852" s="35"/>
      <c r="UEL1852" s="35"/>
      <c r="UEM1852" s="35"/>
      <c r="UOH1852" s="35"/>
      <c r="UOI1852" s="35"/>
      <c r="UYD1852" s="35"/>
      <c r="UYE1852" s="35"/>
      <c r="VHZ1852" s="35"/>
      <c r="VIA1852" s="35"/>
      <c r="VRV1852" s="35"/>
      <c r="VRW1852" s="35"/>
      <c r="WBR1852" s="35"/>
      <c r="WBS1852" s="35"/>
      <c r="WLN1852" s="35"/>
      <c r="WLO1852" s="35"/>
      <c r="WVJ1852" s="35"/>
      <c r="WVK1852" s="35"/>
    </row>
    <row r="1853" spans="1:771 1026:1795 2050:2819 3074:3843 4098:4867 5122:5891 6146:6915 7170:7939 8194:8963 9218:9987 10242:11011 11266:12035 12290:13059 13314:14083 14338:15107 15362:16131" s="35" customFormat="1" ht="41.4" x14ac:dyDescent="0.3">
      <c r="A1853" s="28">
        <v>172</v>
      </c>
      <c r="B1853" s="29" t="s">
        <v>1436</v>
      </c>
      <c r="C1853" s="30" t="s">
        <v>2280</v>
      </c>
      <c r="D1853" s="31" t="s">
        <v>13</v>
      </c>
      <c r="E1853" s="32">
        <v>11.3</v>
      </c>
      <c r="F1853" s="33"/>
      <c r="G1853" s="33"/>
      <c r="H1853" s="34" t="s">
        <v>2281</v>
      </c>
    </row>
    <row r="1854" spans="1:771 1026:1795 2050:2819 3074:3843 4098:4867 5122:5891 6146:6915 7170:7939 8194:8963 9218:9987 10242:11011 11266:12035 12290:13059 13314:14083 14338:15107 15362:16131" s="35" customFormat="1" x14ac:dyDescent="0.3">
      <c r="A1854" s="36"/>
      <c r="B1854" s="72" t="s">
        <v>1437</v>
      </c>
      <c r="C1854" s="38" t="s">
        <v>14</v>
      </c>
      <c r="D1854" s="39"/>
      <c r="E1854" s="44"/>
      <c r="F1854" s="40"/>
      <c r="G1854" s="41">
        <f>SUM(G1855)</f>
        <v>117565200</v>
      </c>
      <c r="H1854" s="42"/>
    </row>
    <row r="1855" spans="1:771 1026:1795 2050:2819 3074:3843 4098:4867 5122:5891 6146:6915 7170:7939 8194:8963 9218:9987 10242:11011 11266:12035 12290:13059 13314:14083 14338:15107 15362:16131" s="35" customFormat="1" ht="78" x14ac:dyDescent="0.3">
      <c r="A1855" s="36"/>
      <c r="B1855" s="72" t="s">
        <v>1438</v>
      </c>
      <c r="C1855" s="43" t="s">
        <v>55</v>
      </c>
      <c r="D1855" s="39" t="s">
        <v>13</v>
      </c>
      <c r="E1855" s="44">
        <v>11.3</v>
      </c>
      <c r="F1855" s="153">
        <v>10404000</v>
      </c>
      <c r="G1855" s="40">
        <f>E1855*F1855</f>
        <v>117565200</v>
      </c>
      <c r="H1855" s="42"/>
    </row>
    <row r="1856" spans="1:771 1026:1795 2050:2819 3074:3843 4098:4867 5122:5891 6146:6915 7170:7939 8194:8963 9218:9987 10242:11011 11266:12035 12290:13059 13314:14083 14338:15107 15362:16131" s="35" customFormat="1" x14ac:dyDescent="0.3">
      <c r="A1856" s="36"/>
      <c r="B1856" s="72" t="s">
        <v>1439</v>
      </c>
      <c r="C1856" s="47" t="s">
        <v>35</v>
      </c>
      <c r="D1856" s="39"/>
      <c r="E1856" s="73"/>
      <c r="F1856" s="40"/>
      <c r="G1856" s="41">
        <f>SUM(G1857:G1858)</f>
        <v>26229120.000000004</v>
      </c>
      <c r="H1856" s="45"/>
    </row>
    <row r="1857" spans="1:771 1026:1795 2050:2819 3074:3843 4098:4867 5122:5891 6146:6915 7170:7939 8194:8963 9218:9987 10242:11011 11266:12035 12290:13059 13314:14083 14338:15107 15362:16131" s="35" customFormat="1" ht="82.8" x14ac:dyDescent="0.3">
      <c r="A1857" s="36"/>
      <c r="B1857" s="72"/>
      <c r="C1857" s="101" t="s">
        <v>1440</v>
      </c>
      <c r="D1857" s="39" t="s">
        <v>13</v>
      </c>
      <c r="E1857" s="73">
        <f>((0.6+0.2)*11.4)/2</f>
        <v>4.5600000000000005</v>
      </c>
      <c r="F1857" s="74">
        <v>3592000</v>
      </c>
      <c r="G1857" s="40">
        <f>E1857*F1857</f>
        <v>16379520.000000002</v>
      </c>
      <c r="H1857" s="45" t="s">
        <v>2520</v>
      </c>
    </row>
    <row r="1858" spans="1:771 1026:1795 2050:2819 3074:3843 4098:4867 5122:5891 6146:6915 7170:7939 8194:8963 9218:9987 10242:11011 11266:12035 12290:13059 13314:14083 14338:15107 15362:16131" s="35" customFormat="1" ht="46.8" x14ac:dyDescent="0.3">
      <c r="A1858" s="36"/>
      <c r="B1858" s="72"/>
      <c r="C1858" s="66" t="s">
        <v>1441</v>
      </c>
      <c r="D1858" s="39" t="s">
        <v>13</v>
      </c>
      <c r="E1858" s="73">
        <f>(3.2*11.4)/2</f>
        <v>18.240000000000002</v>
      </c>
      <c r="F1858" s="74">
        <v>540000</v>
      </c>
      <c r="G1858" s="40">
        <f>E1858*F1858</f>
        <v>9849600.0000000019</v>
      </c>
      <c r="H1858" s="45" t="s">
        <v>2375</v>
      </c>
    </row>
    <row r="1859" spans="1:771 1026:1795 2050:2819 3074:3843 4098:4867 5122:5891 6146:6915 7170:7939 8194:8963 9218:9987 10242:11011 11266:12035 12290:13059 13314:14083 14338:15107 15362:16131" s="109" customFormat="1" x14ac:dyDescent="0.3">
      <c r="A1859" s="36"/>
      <c r="B1859" s="64"/>
      <c r="C1859" s="51" t="s">
        <v>20</v>
      </c>
      <c r="D1859" s="36"/>
      <c r="E1859" s="107"/>
      <c r="F1859" s="41"/>
      <c r="G1859" s="41">
        <f>SUM(G1860)</f>
        <v>40000</v>
      </c>
      <c r="H1859" s="108"/>
    </row>
    <row r="1860" spans="1:771 1026:1795 2050:2819 3074:3843 4098:4867 5122:5891 6146:6915 7170:7939 8194:8963 9218:9987 10242:11011 11266:12035 12290:13059 13314:14083 14338:15107 15362:16131" s="77" customFormat="1" x14ac:dyDescent="0.3">
      <c r="A1860" s="36"/>
      <c r="B1860" s="37"/>
      <c r="C1860" s="75" t="s">
        <v>311</v>
      </c>
      <c r="D1860" s="76" t="s">
        <v>22</v>
      </c>
      <c r="E1860" s="73">
        <v>2</v>
      </c>
      <c r="F1860" s="74">
        <v>20000</v>
      </c>
      <c r="G1860" s="40">
        <f>E1860*F1860</f>
        <v>40000</v>
      </c>
      <c r="H1860" s="52"/>
    </row>
    <row r="1861" spans="1:771 1026:1795 2050:2819 3074:3843 4098:4867 5122:5891 6146:6915 7170:7939 8194:8963 9218:9987 10242:11011 11266:12035 12290:13059 13314:14083 14338:15107 15362:16131" s="35" customFormat="1" x14ac:dyDescent="0.3">
      <c r="A1861" s="36"/>
      <c r="B1861" s="46"/>
      <c r="C1861" s="51" t="s">
        <v>23</v>
      </c>
      <c r="D1861" s="39"/>
      <c r="E1861" s="1"/>
      <c r="F1861" s="2"/>
      <c r="G1861" s="41">
        <f>SUM(G1862)</f>
        <v>6120000</v>
      </c>
      <c r="H1861" s="52"/>
    </row>
    <row r="1862" spans="1:771 1026:1795 2050:2819 3074:3843 4098:4867 5122:5891 6146:6915 7170:7939 8194:8963 9218:9987 10242:11011 11266:12035 12290:13059 13314:14083 14338:15107 15362:16131" s="35" customFormat="1" x14ac:dyDescent="0.3">
      <c r="A1862" s="36"/>
      <c r="B1862" s="46"/>
      <c r="C1862" s="50" t="s">
        <v>24</v>
      </c>
      <c r="D1862" s="39" t="s">
        <v>25</v>
      </c>
      <c r="E1862" s="1">
        <f>2*30*6</f>
        <v>360</v>
      </c>
      <c r="F1862" s="2">
        <v>17000</v>
      </c>
      <c r="G1862" s="40">
        <f>E1862*F1862</f>
        <v>6120000</v>
      </c>
      <c r="H1862" s="42"/>
    </row>
    <row r="1863" spans="1:771 1026:1795 2050:2819 3074:3843 4098:4867 5122:5891 6146:6915 7170:7939 8194:8963 9218:9987 10242:11011 11266:12035 12290:13059 13314:14083 14338:15107 15362:16131" s="35" customFormat="1" ht="65.400000000000006" thickBot="1" x14ac:dyDescent="0.35">
      <c r="A1863" s="53"/>
      <c r="B1863" s="54"/>
      <c r="C1863" s="55" t="s">
        <v>2331</v>
      </c>
      <c r="D1863" s="56"/>
      <c r="E1863" s="5"/>
      <c r="F1863" s="6"/>
      <c r="G1863" s="57"/>
      <c r="H1863" s="58"/>
    </row>
    <row r="1864" spans="1:771 1026:1795 2050:2819 3074:3843 4098:4867 5122:5891 6146:6915 7170:7939 8194:8963 9218:9987 10242:11011 11266:12035 12290:13059 13314:14083 14338:15107 15362:16131" s="59" customFormat="1" ht="31.8" thickBot="1" x14ac:dyDescent="0.35">
      <c r="A1864" s="154"/>
      <c r="B1864" s="155" t="s">
        <v>26</v>
      </c>
      <c r="C1864" s="156"/>
      <c r="D1864" s="154"/>
      <c r="E1864" s="157"/>
      <c r="F1864" s="158"/>
      <c r="G1864" s="159">
        <f>SUM(G1853:G1863)/2</f>
        <v>149954320</v>
      </c>
      <c r="H1864" s="160"/>
      <c r="IX1864" s="35"/>
      <c r="IY1864" s="35"/>
      <c r="ST1864" s="35"/>
      <c r="SU1864" s="35"/>
      <c r="ACP1864" s="35"/>
      <c r="ACQ1864" s="35"/>
      <c r="AML1864" s="35"/>
      <c r="AMM1864" s="35"/>
      <c r="AWH1864" s="35"/>
      <c r="AWI1864" s="35"/>
      <c r="BGD1864" s="35"/>
      <c r="BGE1864" s="35"/>
      <c r="BPZ1864" s="35"/>
      <c r="BQA1864" s="35"/>
      <c r="BZV1864" s="35"/>
      <c r="BZW1864" s="35"/>
      <c r="CJR1864" s="35"/>
      <c r="CJS1864" s="35"/>
      <c r="CTN1864" s="35"/>
      <c r="CTO1864" s="35"/>
      <c r="DDJ1864" s="35"/>
      <c r="DDK1864" s="35"/>
      <c r="DNF1864" s="35"/>
      <c r="DNG1864" s="35"/>
      <c r="DXB1864" s="35"/>
      <c r="DXC1864" s="35"/>
      <c r="EGX1864" s="35"/>
      <c r="EGY1864" s="35"/>
      <c r="EQT1864" s="35"/>
      <c r="EQU1864" s="35"/>
      <c r="FAP1864" s="35"/>
      <c r="FAQ1864" s="35"/>
      <c r="FKL1864" s="35"/>
      <c r="FKM1864" s="35"/>
      <c r="FUH1864" s="35"/>
      <c r="FUI1864" s="35"/>
      <c r="GED1864" s="35"/>
      <c r="GEE1864" s="35"/>
      <c r="GNZ1864" s="35"/>
      <c r="GOA1864" s="35"/>
      <c r="GXV1864" s="35"/>
      <c r="GXW1864" s="35"/>
      <c r="HHR1864" s="35"/>
      <c r="HHS1864" s="35"/>
      <c r="HRN1864" s="35"/>
      <c r="HRO1864" s="35"/>
      <c r="IBJ1864" s="35"/>
      <c r="IBK1864" s="35"/>
      <c r="ILF1864" s="35"/>
      <c r="ILG1864" s="35"/>
      <c r="IVB1864" s="35"/>
      <c r="IVC1864" s="35"/>
      <c r="JEX1864" s="35"/>
      <c r="JEY1864" s="35"/>
      <c r="JOT1864" s="35"/>
      <c r="JOU1864" s="35"/>
      <c r="JYP1864" s="35"/>
      <c r="JYQ1864" s="35"/>
      <c r="KIL1864" s="35"/>
      <c r="KIM1864" s="35"/>
      <c r="KSH1864" s="35"/>
      <c r="KSI1864" s="35"/>
      <c r="LCD1864" s="35"/>
      <c r="LCE1864" s="35"/>
      <c r="LLZ1864" s="35"/>
      <c r="LMA1864" s="35"/>
      <c r="LVV1864" s="35"/>
      <c r="LVW1864" s="35"/>
      <c r="MFR1864" s="35"/>
      <c r="MFS1864" s="35"/>
      <c r="MPN1864" s="35"/>
      <c r="MPO1864" s="35"/>
      <c r="MZJ1864" s="35"/>
      <c r="MZK1864" s="35"/>
      <c r="NJF1864" s="35"/>
      <c r="NJG1864" s="35"/>
      <c r="NTB1864" s="35"/>
      <c r="NTC1864" s="35"/>
      <c r="OCX1864" s="35"/>
      <c r="OCY1864" s="35"/>
      <c r="OMT1864" s="35"/>
      <c r="OMU1864" s="35"/>
      <c r="OWP1864" s="35"/>
      <c r="OWQ1864" s="35"/>
      <c r="PGL1864" s="35"/>
      <c r="PGM1864" s="35"/>
      <c r="PQH1864" s="35"/>
      <c r="PQI1864" s="35"/>
      <c r="QAD1864" s="35"/>
      <c r="QAE1864" s="35"/>
      <c r="QJZ1864" s="35"/>
      <c r="QKA1864" s="35"/>
      <c r="QTV1864" s="35"/>
      <c r="QTW1864" s="35"/>
      <c r="RDR1864" s="35"/>
      <c r="RDS1864" s="35"/>
      <c r="RNN1864" s="35"/>
      <c r="RNO1864" s="35"/>
      <c r="RXJ1864" s="35"/>
      <c r="RXK1864" s="35"/>
      <c r="SHF1864" s="35"/>
      <c r="SHG1864" s="35"/>
      <c r="SRB1864" s="35"/>
      <c r="SRC1864" s="35"/>
      <c r="TAX1864" s="35"/>
      <c r="TAY1864" s="35"/>
      <c r="TKT1864" s="35"/>
      <c r="TKU1864" s="35"/>
      <c r="TUP1864" s="35"/>
      <c r="TUQ1864" s="35"/>
      <c r="UEL1864" s="35"/>
      <c r="UEM1864" s="35"/>
      <c r="UOH1864" s="35"/>
      <c r="UOI1864" s="35"/>
      <c r="UYD1864" s="35"/>
      <c r="UYE1864" s="35"/>
      <c r="VHZ1864" s="35"/>
      <c r="VIA1864" s="35"/>
      <c r="VRV1864" s="35"/>
      <c r="VRW1864" s="35"/>
      <c r="WBR1864" s="35"/>
      <c r="WBS1864" s="35"/>
      <c r="WLN1864" s="35"/>
      <c r="WLO1864" s="35"/>
      <c r="WVJ1864" s="35"/>
      <c r="WVK1864" s="35"/>
    </row>
    <row r="1865" spans="1:771 1026:1795 2050:2819 3074:3843 4098:4867 5122:5891 6146:6915 7170:7939 8194:8963 9218:9987 10242:11011 11266:12035 12290:13059 13314:14083 14338:15107 15362:16131" s="35" customFormat="1" ht="55.2" x14ac:dyDescent="0.3">
      <c r="A1865" s="28">
        <v>173</v>
      </c>
      <c r="B1865" s="29" t="s">
        <v>2246</v>
      </c>
      <c r="C1865" s="30" t="s">
        <v>1444</v>
      </c>
      <c r="D1865" s="31" t="s">
        <v>13</v>
      </c>
      <c r="E1865" s="32">
        <f>9.9+7.9</f>
        <v>17.8</v>
      </c>
      <c r="F1865" s="33"/>
      <c r="G1865" s="33"/>
      <c r="H1865" s="34" t="s">
        <v>2251</v>
      </c>
    </row>
    <row r="1866" spans="1:771 1026:1795 2050:2819 3074:3843 4098:4867 5122:5891 6146:6915 7170:7939 8194:8963 9218:9987 10242:11011 11266:12035 12290:13059 13314:14083 14338:15107 15362:16131" s="35" customFormat="1" x14ac:dyDescent="0.3">
      <c r="A1866" s="36"/>
      <c r="B1866" s="72" t="s">
        <v>326</v>
      </c>
      <c r="C1866" s="38" t="s">
        <v>14</v>
      </c>
      <c r="D1866" s="39"/>
      <c r="E1866" s="44"/>
      <c r="F1866" s="40"/>
      <c r="G1866" s="41">
        <f>SUM(G1867)</f>
        <v>185191200</v>
      </c>
      <c r="H1866" s="42"/>
    </row>
    <row r="1867" spans="1:771 1026:1795 2050:2819 3074:3843 4098:4867 5122:5891 6146:6915 7170:7939 8194:8963 9218:9987 10242:11011 11266:12035 12290:13059 13314:14083 14338:15107 15362:16131" s="35" customFormat="1" ht="62.4" x14ac:dyDescent="0.3">
      <c r="A1867" s="36"/>
      <c r="B1867" s="72" t="s">
        <v>2282</v>
      </c>
      <c r="C1867" s="43" t="s">
        <v>55</v>
      </c>
      <c r="D1867" s="39" t="s">
        <v>13</v>
      </c>
      <c r="E1867" s="44">
        <f>9.9+7.9</f>
        <v>17.8</v>
      </c>
      <c r="F1867" s="153">
        <v>10404000</v>
      </c>
      <c r="G1867" s="40">
        <f>E1867*F1867</f>
        <v>185191200</v>
      </c>
      <c r="H1867" s="42"/>
    </row>
    <row r="1868" spans="1:771 1026:1795 2050:2819 3074:3843 4098:4867 5122:5891 6146:6915 7170:7939 8194:8963 9218:9987 10242:11011 11266:12035 12290:13059 13314:14083 14338:15107 15362:16131" s="35" customFormat="1" x14ac:dyDescent="0.3">
      <c r="A1868" s="36"/>
      <c r="B1868" s="38"/>
      <c r="C1868" s="47" t="s">
        <v>35</v>
      </c>
      <c r="D1868" s="39"/>
      <c r="E1868" s="73"/>
      <c r="F1868" s="40"/>
      <c r="G1868" s="41">
        <f>SUM(G1869:G1870)</f>
        <v>27594000</v>
      </c>
      <c r="H1868" s="45"/>
    </row>
    <row r="1869" spans="1:771 1026:1795 2050:2819 3074:3843 4098:4867 5122:5891 6146:6915 7170:7939 8194:8963 9218:9987 10242:11011 11266:12035 12290:13059 13314:14083 14338:15107 15362:16131" s="35" customFormat="1" ht="55.2" x14ac:dyDescent="0.3">
      <c r="A1869" s="36"/>
      <c r="B1869" s="72" t="s">
        <v>2283</v>
      </c>
      <c r="C1869" s="66" t="s">
        <v>1443</v>
      </c>
      <c r="D1869" s="39" t="s">
        <v>13</v>
      </c>
      <c r="E1869" s="73">
        <f>2*9</f>
        <v>18</v>
      </c>
      <c r="F1869" s="74"/>
      <c r="G1869" s="40">
        <f>E1869*F1869</f>
        <v>0</v>
      </c>
      <c r="H1869" s="45" t="s">
        <v>2521</v>
      </c>
    </row>
    <row r="1870" spans="1:771 1026:1795 2050:2819 3074:3843 4098:4867 5122:5891 6146:6915 7170:7939 8194:8963 9218:9987 10242:11011 11266:12035 12290:13059 13314:14083 14338:15107 15362:16131" s="35" customFormat="1" x14ac:dyDescent="0.3">
      <c r="A1870" s="36"/>
      <c r="B1870" s="72"/>
      <c r="C1870" s="66" t="s">
        <v>260</v>
      </c>
      <c r="D1870" s="39"/>
      <c r="E1870" s="73">
        <v>18</v>
      </c>
      <c r="F1870" s="40">
        <v>1533000</v>
      </c>
      <c r="G1870" s="40">
        <f>E1870*F1870</f>
        <v>27594000</v>
      </c>
      <c r="H1870" s="45"/>
    </row>
    <row r="1871" spans="1:771 1026:1795 2050:2819 3074:3843 4098:4867 5122:5891 6146:6915 7170:7939 8194:8963 9218:9987 10242:11011 11266:12035 12290:13059 13314:14083 14338:15107 15362:16131" s="109" customFormat="1" x14ac:dyDescent="0.3">
      <c r="A1871" s="36"/>
      <c r="B1871" s="64"/>
      <c r="C1871" s="51" t="s">
        <v>20</v>
      </c>
      <c r="D1871" s="36"/>
      <c r="E1871" s="107"/>
      <c r="F1871" s="41"/>
      <c r="G1871" s="41">
        <f>SUM(G1872)</f>
        <v>40000</v>
      </c>
      <c r="H1871" s="108"/>
    </row>
    <row r="1872" spans="1:771 1026:1795 2050:2819 3074:3843 4098:4867 5122:5891 6146:6915 7170:7939 8194:8963 9218:9987 10242:11011 11266:12035 12290:13059 13314:14083 14338:15107 15362:16131" s="77" customFormat="1" x14ac:dyDescent="0.3">
      <c r="A1872" s="36"/>
      <c r="B1872" s="37"/>
      <c r="C1872" s="75" t="s">
        <v>311</v>
      </c>
      <c r="D1872" s="76" t="s">
        <v>22</v>
      </c>
      <c r="E1872" s="73">
        <v>2</v>
      </c>
      <c r="F1872" s="74">
        <v>20000</v>
      </c>
      <c r="G1872" s="40">
        <f>E1872*F1872</f>
        <v>40000</v>
      </c>
      <c r="H1872" s="52"/>
    </row>
    <row r="1873" spans="1:771 1026:1795 2050:2819 3074:3843 4098:4867 5122:5891 6146:6915 7170:7939 8194:8963 9218:9987 10242:11011 11266:12035 12290:13059 13314:14083 14338:15107 15362:16131" s="35" customFormat="1" x14ac:dyDescent="0.3">
      <c r="A1873" s="36"/>
      <c r="B1873" s="46"/>
      <c r="C1873" s="51" t="s">
        <v>23</v>
      </c>
      <c r="D1873" s="39"/>
      <c r="E1873" s="1"/>
      <c r="F1873" s="2"/>
      <c r="G1873" s="41">
        <f>SUM(G1874)</f>
        <v>3060000</v>
      </c>
      <c r="H1873" s="52"/>
    </row>
    <row r="1874" spans="1:771 1026:1795 2050:2819 3074:3843 4098:4867 5122:5891 6146:6915 7170:7939 8194:8963 9218:9987 10242:11011 11266:12035 12290:13059 13314:14083 14338:15107 15362:16131" s="35" customFormat="1" x14ac:dyDescent="0.3">
      <c r="A1874" s="36"/>
      <c r="B1874" s="46"/>
      <c r="C1874" s="50" t="s">
        <v>24</v>
      </c>
      <c r="D1874" s="39" t="s">
        <v>25</v>
      </c>
      <c r="E1874" s="1">
        <f>1*30*6</f>
        <v>180</v>
      </c>
      <c r="F1874" s="2">
        <v>17000</v>
      </c>
      <c r="G1874" s="40">
        <f>E1874*F1874</f>
        <v>3060000</v>
      </c>
      <c r="H1874" s="42"/>
    </row>
    <row r="1875" spans="1:771 1026:1795 2050:2819 3074:3843 4098:4867 5122:5891 6146:6915 7170:7939 8194:8963 9218:9987 10242:11011 11266:12035 12290:13059 13314:14083 14338:15107 15362:16131" s="35" customFormat="1" ht="65.400000000000006" thickBot="1" x14ac:dyDescent="0.35">
      <c r="A1875" s="53"/>
      <c r="B1875" s="54"/>
      <c r="C1875" s="55" t="s">
        <v>2331</v>
      </c>
      <c r="D1875" s="56"/>
      <c r="E1875" s="5"/>
      <c r="F1875" s="6"/>
      <c r="G1875" s="57"/>
      <c r="H1875" s="58"/>
    </row>
    <row r="1876" spans="1:771 1026:1795 2050:2819 3074:3843 4098:4867 5122:5891 6146:6915 7170:7939 8194:8963 9218:9987 10242:11011 11266:12035 12290:13059 13314:14083 14338:15107 15362:16131" s="59" customFormat="1" ht="31.8" thickBot="1" x14ac:dyDescent="0.35">
      <c r="A1876" s="154"/>
      <c r="B1876" s="155" t="s">
        <v>26</v>
      </c>
      <c r="C1876" s="156"/>
      <c r="D1876" s="154"/>
      <c r="E1876" s="157"/>
      <c r="F1876" s="158"/>
      <c r="G1876" s="159">
        <f>SUM(G1865:G1875)/2</f>
        <v>215885200</v>
      </c>
      <c r="H1876" s="160"/>
      <c r="IX1876" s="35"/>
      <c r="IY1876" s="35"/>
      <c r="ST1876" s="35"/>
      <c r="SU1876" s="35"/>
      <c r="ACP1876" s="35"/>
      <c r="ACQ1876" s="35"/>
      <c r="AML1876" s="35"/>
      <c r="AMM1876" s="35"/>
      <c r="AWH1876" s="35"/>
      <c r="AWI1876" s="35"/>
      <c r="BGD1876" s="35"/>
      <c r="BGE1876" s="35"/>
      <c r="BPZ1876" s="35"/>
      <c r="BQA1876" s="35"/>
      <c r="BZV1876" s="35"/>
      <c r="BZW1876" s="35"/>
      <c r="CJR1876" s="35"/>
      <c r="CJS1876" s="35"/>
      <c r="CTN1876" s="35"/>
      <c r="CTO1876" s="35"/>
      <c r="DDJ1876" s="35"/>
      <c r="DDK1876" s="35"/>
      <c r="DNF1876" s="35"/>
      <c r="DNG1876" s="35"/>
      <c r="DXB1876" s="35"/>
      <c r="DXC1876" s="35"/>
      <c r="EGX1876" s="35"/>
      <c r="EGY1876" s="35"/>
      <c r="EQT1876" s="35"/>
      <c r="EQU1876" s="35"/>
      <c r="FAP1876" s="35"/>
      <c r="FAQ1876" s="35"/>
      <c r="FKL1876" s="35"/>
      <c r="FKM1876" s="35"/>
      <c r="FUH1876" s="35"/>
      <c r="FUI1876" s="35"/>
      <c r="GED1876" s="35"/>
      <c r="GEE1876" s="35"/>
      <c r="GNZ1876" s="35"/>
      <c r="GOA1876" s="35"/>
      <c r="GXV1876" s="35"/>
      <c r="GXW1876" s="35"/>
      <c r="HHR1876" s="35"/>
      <c r="HHS1876" s="35"/>
      <c r="HRN1876" s="35"/>
      <c r="HRO1876" s="35"/>
      <c r="IBJ1876" s="35"/>
      <c r="IBK1876" s="35"/>
      <c r="ILF1876" s="35"/>
      <c r="ILG1876" s="35"/>
      <c r="IVB1876" s="35"/>
      <c r="IVC1876" s="35"/>
      <c r="JEX1876" s="35"/>
      <c r="JEY1876" s="35"/>
      <c r="JOT1876" s="35"/>
      <c r="JOU1876" s="35"/>
      <c r="JYP1876" s="35"/>
      <c r="JYQ1876" s="35"/>
      <c r="KIL1876" s="35"/>
      <c r="KIM1876" s="35"/>
      <c r="KSH1876" s="35"/>
      <c r="KSI1876" s="35"/>
      <c r="LCD1876" s="35"/>
      <c r="LCE1876" s="35"/>
      <c r="LLZ1876" s="35"/>
      <c r="LMA1876" s="35"/>
      <c r="LVV1876" s="35"/>
      <c r="LVW1876" s="35"/>
      <c r="MFR1876" s="35"/>
      <c r="MFS1876" s="35"/>
      <c r="MPN1876" s="35"/>
      <c r="MPO1876" s="35"/>
      <c r="MZJ1876" s="35"/>
      <c r="MZK1876" s="35"/>
      <c r="NJF1876" s="35"/>
      <c r="NJG1876" s="35"/>
      <c r="NTB1876" s="35"/>
      <c r="NTC1876" s="35"/>
      <c r="OCX1876" s="35"/>
      <c r="OCY1876" s="35"/>
      <c r="OMT1876" s="35"/>
      <c r="OMU1876" s="35"/>
      <c r="OWP1876" s="35"/>
      <c r="OWQ1876" s="35"/>
      <c r="PGL1876" s="35"/>
      <c r="PGM1876" s="35"/>
      <c r="PQH1876" s="35"/>
      <c r="PQI1876" s="35"/>
      <c r="QAD1876" s="35"/>
      <c r="QAE1876" s="35"/>
      <c r="QJZ1876" s="35"/>
      <c r="QKA1876" s="35"/>
      <c r="QTV1876" s="35"/>
      <c r="QTW1876" s="35"/>
      <c r="RDR1876" s="35"/>
      <c r="RDS1876" s="35"/>
      <c r="RNN1876" s="35"/>
      <c r="RNO1876" s="35"/>
      <c r="RXJ1876" s="35"/>
      <c r="RXK1876" s="35"/>
      <c r="SHF1876" s="35"/>
      <c r="SHG1876" s="35"/>
      <c r="SRB1876" s="35"/>
      <c r="SRC1876" s="35"/>
      <c r="TAX1876" s="35"/>
      <c r="TAY1876" s="35"/>
      <c r="TKT1876" s="35"/>
      <c r="TKU1876" s="35"/>
      <c r="TUP1876" s="35"/>
      <c r="TUQ1876" s="35"/>
      <c r="UEL1876" s="35"/>
      <c r="UEM1876" s="35"/>
      <c r="UOH1876" s="35"/>
      <c r="UOI1876" s="35"/>
      <c r="UYD1876" s="35"/>
      <c r="UYE1876" s="35"/>
      <c r="VHZ1876" s="35"/>
      <c r="VIA1876" s="35"/>
      <c r="VRV1876" s="35"/>
      <c r="VRW1876" s="35"/>
      <c r="WBR1876" s="35"/>
      <c r="WBS1876" s="35"/>
      <c r="WLN1876" s="35"/>
      <c r="WLO1876" s="35"/>
      <c r="WVJ1876" s="35"/>
      <c r="WVK1876" s="35"/>
    </row>
    <row r="1877" spans="1:771 1026:1795 2050:2819 3074:3843 4098:4867 5122:5891 6146:6915 7170:7939 8194:8963 9218:9987 10242:11011 11266:12035 12290:13059 13314:14083 14338:15107 15362:16131" s="35" customFormat="1" ht="55.2" x14ac:dyDescent="0.3">
      <c r="A1877" s="28">
        <v>174</v>
      </c>
      <c r="B1877" s="29" t="s">
        <v>1445</v>
      </c>
      <c r="C1877" s="30" t="s">
        <v>1449</v>
      </c>
      <c r="D1877" s="31" t="s">
        <v>13</v>
      </c>
      <c r="E1877" s="32">
        <v>9.6999999999999993</v>
      </c>
      <c r="F1877" s="33"/>
      <c r="G1877" s="33"/>
      <c r="H1877" s="34" t="s">
        <v>1450</v>
      </c>
    </row>
    <row r="1878" spans="1:771 1026:1795 2050:2819 3074:3843 4098:4867 5122:5891 6146:6915 7170:7939 8194:8963 9218:9987 10242:11011 11266:12035 12290:13059 13314:14083 14338:15107 15362:16131" s="35" customFormat="1" x14ac:dyDescent="0.3">
      <c r="A1878" s="36"/>
      <c r="B1878" s="72" t="s">
        <v>1446</v>
      </c>
      <c r="C1878" s="38" t="s">
        <v>14</v>
      </c>
      <c r="D1878" s="39"/>
      <c r="E1878" s="44"/>
      <c r="F1878" s="40"/>
      <c r="G1878" s="41">
        <f>SUM(G1879)</f>
        <v>100918800</v>
      </c>
      <c r="H1878" s="42"/>
    </row>
    <row r="1879" spans="1:771 1026:1795 2050:2819 3074:3843 4098:4867 5122:5891 6146:6915 7170:7939 8194:8963 9218:9987 10242:11011 11266:12035 12290:13059 13314:14083 14338:15107 15362:16131" s="35" customFormat="1" ht="78" x14ac:dyDescent="0.3">
      <c r="A1879" s="36"/>
      <c r="B1879" s="72" t="s">
        <v>1447</v>
      </c>
      <c r="C1879" s="43" t="s">
        <v>55</v>
      </c>
      <c r="D1879" s="39" t="s">
        <v>13</v>
      </c>
      <c r="E1879" s="44">
        <v>9.6999999999999993</v>
      </c>
      <c r="F1879" s="153">
        <v>10404000</v>
      </c>
      <c r="G1879" s="40">
        <f>E1879*F1879</f>
        <v>100918800</v>
      </c>
      <c r="H1879" s="42"/>
    </row>
    <row r="1880" spans="1:771 1026:1795 2050:2819 3074:3843 4098:4867 5122:5891 6146:6915 7170:7939 8194:8963 9218:9987 10242:11011 11266:12035 12290:13059 13314:14083 14338:15107 15362:16131" s="35" customFormat="1" x14ac:dyDescent="0.3">
      <c r="A1880" s="36"/>
      <c r="B1880" s="72" t="s">
        <v>1448</v>
      </c>
      <c r="C1880" s="47" t="s">
        <v>35</v>
      </c>
      <c r="D1880" s="39"/>
      <c r="E1880" s="73"/>
      <c r="F1880" s="40"/>
      <c r="G1880" s="41">
        <f>SUM(G1881:G1882)</f>
        <v>7380160</v>
      </c>
      <c r="H1880" s="45"/>
    </row>
    <row r="1881" spans="1:771 1026:1795 2050:2819 3074:3843 4098:4867 5122:5891 6146:6915 7170:7939 8194:8963 9218:9987 10242:11011 11266:12035 12290:13059 13314:14083 14338:15107 15362:16131" s="77" customFormat="1" ht="69" x14ac:dyDescent="0.3">
      <c r="A1881" s="36"/>
      <c r="B1881" s="63"/>
      <c r="C1881" s="101" t="s">
        <v>1451</v>
      </c>
      <c r="D1881" s="39" t="s">
        <v>13</v>
      </c>
      <c r="E1881" s="73">
        <v>4</v>
      </c>
      <c r="F1881" s="74">
        <f>3592000*40%</f>
        <v>1436800</v>
      </c>
      <c r="G1881" s="40">
        <f>E1881*F1881</f>
        <v>5747200</v>
      </c>
      <c r="H1881" s="45" t="s">
        <v>2522</v>
      </c>
    </row>
    <row r="1882" spans="1:771 1026:1795 2050:2819 3074:3843 4098:4867 5122:5891 6146:6915 7170:7939 8194:8963 9218:9987 10242:11011 11266:12035 12290:13059 13314:14083 14338:15107 15362:16131" s="35" customFormat="1" ht="46.8" x14ac:dyDescent="0.3">
      <c r="A1882" s="36"/>
      <c r="B1882" s="72"/>
      <c r="C1882" s="66" t="s">
        <v>1452</v>
      </c>
      <c r="D1882" s="39" t="s">
        <v>13</v>
      </c>
      <c r="E1882" s="73">
        <v>7.56</v>
      </c>
      <c r="F1882" s="74">
        <f>540000*40%</f>
        <v>216000</v>
      </c>
      <c r="G1882" s="40">
        <f>E1882*F1882</f>
        <v>1632960</v>
      </c>
      <c r="H1882" s="50" t="s">
        <v>2374</v>
      </c>
    </row>
    <row r="1883" spans="1:771 1026:1795 2050:2819 3074:3843 4098:4867 5122:5891 6146:6915 7170:7939 8194:8963 9218:9987 10242:11011 11266:12035 12290:13059 13314:14083 14338:15107 15362:16131" s="35" customFormat="1" x14ac:dyDescent="0.3">
      <c r="A1883" s="36"/>
      <c r="B1883" s="46"/>
      <c r="C1883" s="51" t="s">
        <v>23</v>
      </c>
      <c r="D1883" s="39"/>
      <c r="E1883" s="1"/>
      <c r="F1883" s="2"/>
      <c r="G1883" s="41">
        <f>SUM(G1884)</f>
        <v>3060000</v>
      </c>
      <c r="H1883" s="52"/>
    </row>
    <row r="1884" spans="1:771 1026:1795 2050:2819 3074:3843 4098:4867 5122:5891 6146:6915 7170:7939 8194:8963 9218:9987 10242:11011 11266:12035 12290:13059 13314:14083 14338:15107 15362:16131" s="35" customFormat="1" x14ac:dyDescent="0.3">
      <c r="A1884" s="36"/>
      <c r="B1884" s="46"/>
      <c r="C1884" s="50" t="s">
        <v>24</v>
      </c>
      <c r="D1884" s="39" t="s">
        <v>25</v>
      </c>
      <c r="E1884" s="1">
        <f>1*30*6</f>
        <v>180</v>
      </c>
      <c r="F1884" s="2">
        <v>17000</v>
      </c>
      <c r="G1884" s="40">
        <f>E1884*F1884</f>
        <v>3060000</v>
      </c>
      <c r="H1884" s="42"/>
    </row>
    <row r="1885" spans="1:771 1026:1795 2050:2819 3074:3843 4098:4867 5122:5891 6146:6915 7170:7939 8194:8963 9218:9987 10242:11011 11266:12035 12290:13059 13314:14083 14338:15107 15362:16131" s="35" customFormat="1" ht="65.400000000000006" thickBot="1" x14ac:dyDescent="0.35">
      <c r="A1885" s="53"/>
      <c r="B1885" s="54"/>
      <c r="C1885" s="55" t="s">
        <v>2331</v>
      </c>
      <c r="D1885" s="56"/>
      <c r="E1885" s="5"/>
      <c r="F1885" s="6"/>
      <c r="G1885" s="57"/>
      <c r="H1885" s="58"/>
    </row>
    <row r="1886" spans="1:771 1026:1795 2050:2819 3074:3843 4098:4867 5122:5891 6146:6915 7170:7939 8194:8963 9218:9987 10242:11011 11266:12035 12290:13059 13314:14083 14338:15107 15362:16131" s="59" customFormat="1" ht="31.8" thickBot="1" x14ac:dyDescent="0.35">
      <c r="A1886" s="154"/>
      <c r="B1886" s="155" t="s">
        <v>26</v>
      </c>
      <c r="C1886" s="156"/>
      <c r="D1886" s="154"/>
      <c r="E1886" s="157"/>
      <c r="F1886" s="158"/>
      <c r="G1886" s="159">
        <f>SUM(G1877:G1885)/2</f>
        <v>111358960</v>
      </c>
      <c r="H1886" s="160"/>
      <c r="IX1886" s="35"/>
      <c r="IY1886" s="35"/>
      <c r="ST1886" s="35"/>
      <c r="SU1886" s="35"/>
      <c r="ACP1886" s="35"/>
      <c r="ACQ1886" s="35"/>
      <c r="AML1886" s="35"/>
      <c r="AMM1886" s="35"/>
      <c r="AWH1886" s="35"/>
      <c r="AWI1886" s="35"/>
      <c r="BGD1886" s="35"/>
      <c r="BGE1886" s="35"/>
      <c r="BPZ1886" s="35"/>
      <c r="BQA1886" s="35"/>
      <c r="BZV1886" s="35"/>
      <c r="BZW1886" s="35"/>
      <c r="CJR1886" s="35"/>
      <c r="CJS1886" s="35"/>
      <c r="CTN1886" s="35"/>
      <c r="CTO1886" s="35"/>
      <c r="DDJ1886" s="35"/>
      <c r="DDK1886" s="35"/>
      <c r="DNF1886" s="35"/>
      <c r="DNG1886" s="35"/>
      <c r="DXB1886" s="35"/>
      <c r="DXC1886" s="35"/>
      <c r="EGX1886" s="35"/>
      <c r="EGY1886" s="35"/>
      <c r="EQT1886" s="35"/>
      <c r="EQU1886" s="35"/>
      <c r="FAP1886" s="35"/>
      <c r="FAQ1886" s="35"/>
      <c r="FKL1886" s="35"/>
      <c r="FKM1886" s="35"/>
      <c r="FUH1886" s="35"/>
      <c r="FUI1886" s="35"/>
      <c r="GED1886" s="35"/>
      <c r="GEE1886" s="35"/>
      <c r="GNZ1886" s="35"/>
      <c r="GOA1886" s="35"/>
      <c r="GXV1886" s="35"/>
      <c r="GXW1886" s="35"/>
      <c r="HHR1886" s="35"/>
      <c r="HHS1886" s="35"/>
      <c r="HRN1886" s="35"/>
      <c r="HRO1886" s="35"/>
      <c r="IBJ1886" s="35"/>
      <c r="IBK1886" s="35"/>
      <c r="ILF1886" s="35"/>
      <c r="ILG1886" s="35"/>
      <c r="IVB1886" s="35"/>
      <c r="IVC1886" s="35"/>
      <c r="JEX1886" s="35"/>
      <c r="JEY1886" s="35"/>
      <c r="JOT1886" s="35"/>
      <c r="JOU1886" s="35"/>
      <c r="JYP1886" s="35"/>
      <c r="JYQ1886" s="35"/>
      <c r="KIL1886" s="35"/>
      <c r="KIM1886" s="35"/>
      <c r="KSH1886" s="35"/>
      <c r="KSI1886" s="35"/>
      <c r="LCD1886" s="35"/>
      <c r="LCE1886" s="35"/>
      <c r="LLZ1886" s="35"/>
      <c r="LMA1886" s="35"/>
      <c r="LVV1886" s="35"/>
      <c r="LVW1886" s="35"/>
      <c r="MFR1886" s="35"/>
      <c r="MFS1886" s="35"/>
      <c r="MPN1886" s="35"/>
      <c r="MPO1886" s="35"/>
      <c r="MZJ1886" s="35"/>
      <c r="MZK1886" s="35"/>
      <c r="NJF1886" s="35"/>
      <c r="NJG1886" s="35"/>
      <c r="NTB1886" s="35"/>
      <c r="NTC1886" s="35"/>
      <c r="OCX1886" s="35"/>
      <c r="OCY1886" s="35"/>
      <c r="OMT1886" s="35"/>
      <c r="OMU1886" s="35"/>
      <c r="OWP1886" s="35"/>
      <c r="OWQ1886" s="35"/>
      <c r="PGL1886" s="35"/>
      <c r="PGM1886" s="35"/>
      <c r="PQH1886" s="35"/>
      <c r="PQI1886" s="35"/>
      <c r="QAD1886" s="35"/>
      <c r="QAE1886" s="35"/>
      <c r="QJZ1886" s="35"/>
      <c r="QKA1886" s="35"/>
      <c r="QTV1886" s="35"/>
      <c r="QTW1886" s="35"/>
      <c r="RDR1886" s="35"/>
      <c r="RDS1886" s="35"/>
      <c r="RNN1886" s="35"/>
      <c r="RNO1886" s="35"/>
      <c r="RXJ1886" s="35"/>
      <c r="RXK1886" s="35"/>
      <c r="SHF1886" s="35"/>
      <c r="SHG1886" s="35"/>
      <c r="SRB1886" s="35"/>
      <c r="SRC1886" s="35"/>
      <c r="TAX1886" s="35"/>
      <c r="TAY1886" s="35"/>
      <c r="TKT1886" s="35"/>
      <c r="TKU1886" s="35"/>
      <c r="TUP1886" s="35"/>
      <c r="TUQ1886" s="35"/>
      <c r="UEL1886" s="35"/>
      <c r="UEM1886" s="35"/>
      <c r="UOH1886" s="35"/>
      <c r="UOI1886" s="35"/>
      <c r="UYD1886" s="35"/>
      <c r="UYE1886" s="35"/>
      <c r="VHZ1886" s="35"/>
      <c r="VIA1886" s="35"/>
      <c r="VRV1886" s="35"/>
      <c r="VRW1886" s="35"/>
      <c r="WBR1886" s="35"/>
      <c r="WBS1886" s="35"/>
      <c r="WLN1886" s="35"/>
      <c r="WLO1886" s="35"/>
      <c r="WVJ1886" s="35"/>
      <c r="WVK1886" s="35"/>
    </row>
    <row r="1887" spans="1:771 1026:1795 2050:2819 3074:3843 4098:4867 5122:5891 6146:6915 7170:7939 8194:8963 9218:9987 10242:11011 11266:12035 12290:13059 13314:14083 14338:15107 15362:16131" s="35" customFormat="1" ht="55.2" x14ac:dyDescent="0.3">
      <c r="A1887" s="28">
        <v>175</v>
      </c>
      <c r="B1887" s="29" t="s">
        <v>1453</v>
      </c>
      <c r="C1887" s="30" t="s">
        <v>1459</v>
      </c>
      <c r="D1887" s="31" t="s">
        <v>13</v>
      </c>
      <c r="E1887" s="32">
        <f>4.3+11.1</f>
        <v>15.399999999999999</v>
      </c>
      <c r="F1887" s="33"/>
      <c r="G1887" s="33"/>
      <c r="H1887" s="34" t="s">
        <v>1457</v>
      </c>
    </row>
    <row r="1888" spans="1:771 1026:1795 2050:2819 3074:3843 4098:4867 5122:5891 6146:6915 7170:7939 8194:8963 9218:9987 10242:11011 11266:12035 12290:13059 13314:14083 14338:15107 15362:16131" s="35" customFormat="1" ht="55.2" x14ac:dyDescent="0.3">
      <c r="A1888" s="36"/>
      <c r="B1888" s="72" t="s">
        <v>1454</v>
      </c>
      <c r="C1888" s="38" t="s">
        <v>14</v>
      </c>
      <c r="D1888" s="39"/>
      <c r="E1888" s="44"/>
      <c r="F1888" s="40"/>
      <c r="G1888" s="41">
        <f>SUM(G1889)</f>
        <v>299976600</v>
      </c>
      <c r="H1888" s="42" t="s">
        <v>1460</v>
      </c>
    </row>
    <row r="1889" spans="1:771 1026:1795 2050:2819 3074:3843 4098:4867 5122:5891 6146:6915 7170:7939 8194:8963 9218:9987 10242:11011 11266:12035 12290:13059 13314:14083 14338:15107 15362:16131" s="35" customFormat="1" ht="78" x14ac:dyDescent="0.3">
      <c r="A1889" s="36"/>
      <c r="B1889" s="72" t="s">
        <v>1455</v>
      </c>
      <c r="C1889" s="48" t="s">
        <v>38</v>
      </c>
      <c r="D1889" s="39" t="s">
        <v>13</v>
      </c>
      <c r="E1889" s="44">
        <f>4.3+11.1</f>
        <v>15.399999999999999</v>
      </c>
      <c r="F1889" s="161">
        <v>19479000</v>
      </c>
      <c r="G1889" s="40">
        <f>E1889*F1889</f>
        <v>299976600</v>
      </c>
      <c r="H1889" s="42"/>
    </row>
    <row r="1890" spans="1:771 1026:1795 2050:2819 3074:3843 4098:4867 5122:5891 6146:6915 7170:7939 8194:8963 9218:9987 10242:11011 11266:12035 12290:13059 13314:14083 14338:15107 15362:16131" s="35" customFormat="1" x14ac:dyDescent="0.3">
      <c r="A1890" s="36"/>
      <c r="B1890" s="72" t="s">
        <v>1456</v>
      </c>
      <c r="C1890" s="47" t="s">
        <v>35</v>
      </c>
      <c r="D1890" s="39"/>
      <c r="E1890" s="73"/>
      <c r="F1890" s="40"/>
      <c r="G1890" s="41">
        <f>SUM(G1891:G1894)</f>
        <v>10752760</v>
      </c>
      <c r="H1890" s="45"/>
    </row>
    <row r="1891" spans="1:771 1026:1795 2050:2819 3074:3843 4098:4867 5122:5891 6146:6915 7170:7939 8194:8963 9218:9987 10242:11011 11266:12035 12290:13059 13314:14083 14338:15107 15362:16131" s="77" customFormat="1" ht="82.8" x14ac:dyDescent="0.3">
      <c r="A1891" s="36"/>
      <c r="B1891" s="63"/>
      <c r="C1891" s="101" t="s">
        <v>1458</v>
      </c>
      <c r="D1891" s="39" t="s">
        <v>13</v>
      </c>
      <c r="E1891" s="73">
        <v>5.6</v>
      </c>
      <c r="F1891" s="74">
        <f>3592000*40%</f>
        <v>1436800</v>
      </c>
      <c r="G1891" s="40">
        <f>E1891*F1891</f>
        <v>8046079.9999999991</v>
      </c>
      <c r="H1891" s="45" t="s">
        <v>2523</v>
      </c>
    </row>
    <row r="1892" spans="1:771 1026:1795 2050:2819 3074:3843 4098:4867 5122:5891 6146:6915 7170:7939 8194:8963 9218:9987 10242:11011 11266:12035 12290:13059 13314:14083 14338:15107 15362:16131" s="35" customFormat="1" ht="46.8" x14ac:dyDescent="0.3">
      <c r="A1892" s="36"/>
      <c r="B1892" s="72"/>
      <c r="C1892" s="66" t="s">
        <v>1461</v>
      </c>
      <c r="D1892" s="39" t="s">
        <v>13</v>
      </c>
      <c r="E1892" s="73">
        <f>1.1*5.8</f>
        <v>6.38</v>
      </c>
      <c r="F1892" s="74">
        <f>540000*40%</f>
        <v>216000</v>
      </c>
      <c r="G1892" s="40">
        <f>E1892*F1892</f>
        <v>1378080</v>
      </c>
      <c r="H1892" s="45" t="s">
        <v>2524</v>
      </c>
    </row>
    <row r="1893" spans="1:771 1026:1795 2050:2819 3074:3843 4098:4867 5122:5891 6146:6915 7170:7939 8194:8963 9218:9987 10242:11011 11266:12035 12290:13059 13314:14083 14338:15107 15362:16131" s="35" customFormat="1" ht="18.600000000000001" x14ac:dyDescent="0.3">
      <c r="A1893" s="36"/>
      <c r="B1893" s="72"/>
      <c r="C1893" s="66" t="s">
        <v>305</v>
      </c>
      <c r="D1893" s="39" t="s">
        <v>13</v>
      </c>
      <c r="E1893" s="73">
        <f>1.3*7.3</f>
        <v>9.49</v>
      </c>
      <c r="F1893" s="40">
        <v>140000</v>
      </c>
      <c r="G1893" s="40">
        <f>E1893*F1893</f>
        <v>1328600</v>
      </c>
      <c r="H1893" s="45"/>
    </row>
    <row r="1894" spans="1:771 1026:1795 2050:2819 3074:3843 4098:4867 5122:5891 6146:6915 7170:7939 8194:8963 9218:9987 10242:11011 11266:12035 12290:13059 13314:14083 14338:15107 15362:16131" s="35" customFormat="1" ht="65.400000000000006" thickBot="1" x14ac:dyDescent="0.35">
      <c r="A1894" s="53"/>
      <c r="B1894" s="54"/>
      <c r="C1894" s="55" t="s">
        <v>2331</v>
      </c>
      <c r="D1894" s="56"/>
      <c r="E1894" s="5"/>
      <c r="F1894" s="6"/>
      <c r="G1894" s="57"/>
      <c r="H1894" s="58"/>
    </row>
    <row r="1895" spans="1:771 1026:1795 2050:2819 3074:3843 4098:4867 5122:5891 6146:6915 7170:7939 8194:8963 9218:9987 10242:11011 11266:12035 12290:13059 13314:14083 14338:15107 15362:16131" s="59" customFormat="1" ht="31.8" thickBot="1" x14ac:dyDescent="0.35">
      <c r="A1895" s="154"/>
      <c r="B1895" s="155" t="s">
        <v>26</v>
      </c>
      <c r="C1895" s="156"/>
      <c r="D1895" s="154"/>
      <c r="E1895" s="157"/>
      <c r="F1895" s="158"/>
      <c r="G1895" s="159">
        <f>SUM(G1887:G1894)/2</f>
        <v>310729360</v>
      </c>
      <c r="H1895" s="160"/>
      <c r="IX1895" s="35"/>
      <c r="IY1895" s="35"/>
      <c r="ST1895" s="35"/>
      <c r="SU1895" s="35"/>
      <c r="ACP1895" s="35"/>
      <c r="ACQ1895" s="35"/>
      <c r="AML1895" s="35"/>
      <c r="AMM1895" s="35"/>
      <c r="AWH1895" s="35"/>
      <c r="AWI1895" s="35"/>
      <c r="BGD1895" s="35"/>
      <c r="BGE1895" s="35"/>
      <c r="BPZ1895" s="35"/>
      <c r="BQA1895" s="35"/>
      <c r="BZV1895" s="35"/>
      <c r="BZW1895" s="35"/>
      <c r="CJR1895" s="35"/>
      <c r="CJS1895" s="35"/>
      <c r="CTN1895" s="35"/>
      <c r="CTO1895" s="35"/>
      <c r="DDJ1895" s="35"/>
      <c r="DDK1895" s="35"/>
      <c r="DNF1895" s="35"/>
      <c r="DNG1895" s="35"/>
      <c r="DXB1895" s="35"/>
      <c r="DXC1895" s="35"/>
      <c r="EGX1895" s="35"/>
      <c r="EGY1895" s="35"/>
      <c r="EQT1895" s="35"/>
      <c r="EQU1895" s="35"/>
      <c r="FAP1895" s="35"/>
      <c r="FAQ1895" s="35"/>
      <c r="FKL1895" s="35"/>
      <c r="FKM1895" s="35"/>
      <c r="FUH1895" s="35"/>
      <c r="FUI1895" s="35"/>
      <c r="GED1895" s="35"/>
      <c r="GEE1895" s="35"/>
      <c r="GNZ1895" s="35"/>
      <c r="GOA1895" s="35"/>
      <c r="GXV1895" s="35"/>
      <c r="GXW1895" s="35"/>
      <c r="HHR1895" s="35"/>
      <c r="HHS1895" s="35"/>
      <c r="HRN1895" s="35"/>
      <c r="HRO1895" s="35"/>
      <c r="IBJ1895" s="35"/>
      <c r="IBK1895" s="35"/>
      <c r="ILF1895" s="35"/>
      <c r="ILG1895" s="35"/>
      <c r="IVB1895" s="35"/>
      <c r="IVC1895" s="35"/>
      <c r="JEX1895" s="35"/>
      <c r="JEY1895" s="35"/>
      <c r="JOT1895" s="35"/>
      <c r="JOU1895" s="35"/>
      <c r="JYP1895" s="35"/>
      <c r="JYQ1895" s="35"/>
      <c r="KIL1895" s="35"/>
      <c r="KIM1895" s="35"/>
      <c r="KSH1895" s="35"/>
      <c r="KSI1895" s="35"/>
      <c r="LCD1895" s="35"/>
      <c r="LCE1895" s="35"/>
      <c r="LLZ1895" s="35"/>
      <c r="LMA1895" s="35"/>
      <c r="LVV1895" s="35"/>
      <c r="LVW1895" s="35"/>
      <c r="MFR1895" s="35"/>
      <c r="MFS1895" s="35"/>
      <c r="MPN1895" s="35"/>
      <c r="MPO1895" s="35"/>
      <c r="MZJ1895" s="35"/>
      <c r="MZK1895" s="35"/>
      <c r="NJF1895" s="35"/>
      <c r="NJG1895" s="35"/>
      <c r="NTB1895" s="35"/>
      <c r="NTC1895" s="35"/>
      <c r="OCX1895" s="35"/>
      <c r="OCY1895" s="35"/>
      <c r="OMT1895" s="35"/>
      <c r="OMU1895" s="35"/>
      <c r="OWP1895" s="35"/>
      <c r="OWQ1895" s="35"/>
      <c r="PGL1895" s="35"/>
      <c r="PGM1895" s="35"/>
      <c r="PQH1895" s="35"/>
      <c r="PQI1895" s="35"/>
      <c r="QAD1895" s="35"/>
      <c r="QAE1895" s="35"/>
      <c r="QJZ1895" s="35"/>
      <c r="QKA1895" s="35"/>
      <c r="QTV1895" s="35"/>
      <c r="QTW1895" s="35"/>
      <c r="RDR1895" s="35"/>
      <c r="RDS1895" s="35"/>
      <c r="RNN1895" s="35"/>
      <c r="RNO1895" s="35"/>
      <c r="RXJ1895" s="35"/>
      <c r="RXK1895" s="35"/>
      <c r="SHF1895" s="35"/>
      <c r="SHG1895" s="35"/>
      <c r="SRB1895" s="35"/>
      <c r="SRC1895" s="35"/>
      <c r="TAX1895" s="35"/>
      <c r="TAY1895" s="35"/>
      <c r="TKT1895" s="35"/>
      <c r="TKU1895" s="35"/>
      <c r="TUP1895" s="35"/>
      <c r="TUQ1895" s="35"/>
      <c r="UEL1895" s="35"/>
      <c r="UEM1895" s="35"/>
      <c r="UOH1895" s="35"/>
      <c r="UOI1895" s="35"/>
      <c r="UYD1895" s="35"/>
      <c r="UYE1895" s="35"/>
      <c r="VHZ1895" s="35"/>
      <c r="VIA1895" s="35"/>
      <c r="VRV1895" s="35"/>
      <c r="VRW1895" s="35"/>
      <c r="WBR1895" s="35"/>
      <c r="WBS1895" s="35"/>
      <c r="WLN1895" s="35"/>
      <c r="WLO1895" s="35"/>
      <c r="WVJ1895" s="35"/>
      <c r="WVK1895" s="35"/>
    </row>
    <row r="1896" spans="1:771 1026:1795 2050:2819 3074:3843 4098:4867 5122:5891 6146:6915 7170:7939 8194:8963 9218:9987 10242:11011 11266:12035 12290:13059 13314:14083 14338:15107 15362:16131" s="35" customFormat="1" ht="55.2" x14ac:dyDescent="0.3">
      <c r="A1896" s="28">
        <v>176</v>
      </c>
      <c r="B1896" s="29" t="s">
        <v>1462</v>
      </c>
      <c r="C1896" s="30" t="s">
        <v>1466</v>
      </c>
      <c r="D1896" s="31" t="s">
        <v>13</v>
      </c>
      <c r="E1896" s="32">
        <v>6.1</v>
      </c>
      <c r="F1896" s="33"/>
      <c r="G1896" s="33"/>
      <c r="H1896" s="34" t="s">
        <v>1467</v>
      </c>
    </row>
    <row r="1897" spans="1:771 1026:1795 2050:2819 3074:3843 4098:4867 5122:5891 6146:6915 7170:7939 8194:8963 9218:9987 10242:11011 11266:12035 12290:13059 13314:14083 14338:15107 15362:16131" s="35" customFormat="1" x14ac:dyDescent="0.3">
      <c r="A1897" s="36"/>
      <c r="B1897" s="72" t="s">
        <v>1463</v>
      </c>
      <c r="C1897" s="38" t="s">
        <v>14</v>
      </c>
      <c r="D1897" s="39"/>
      <c r="E1897" s="44"/>
      <c r="F1897" s="40"/>
      <c r="G1897" s="41">
        <f>SUM(G1898)</f>
        <v>118821900</v>
      </c>
      <c r="H1897" s="42"/>
    </row>
    <row r="1898" spans="1:771 1026:1795 2050:2819 3074:3843 4098:4867 5122:5891 6146:6915 7170:7939 8194:8963 9218:9987 10242:11011 11266:12035 12290:13059 13314:14083 14338:15107 15362:16131" s="35" customFormat="1" ht="78" x14ac:dyDescent="0.3">
      <c r="A1898" s="36"/>
      <c r="B1898" s="72" t="s">
        <v>1464</v>
      </c>
      <c r="C1898" s="48" t="s">
        <v>38</v>
      </c>
      <c r="D1898" s="39" t="s">
        <v>13</v>
      </c>
      <c r="E1898" s="44">
        <v>6.1</v>
      </c>
      <c r="F1898" s="161">
        <v>19479000</v>
      </c>
      <c r="G1898" s="40">
        <f>E1898*F1898</f>
        <v>118821900</v>
      </c>
      <c r="H1898" s="42"/>
    </row>
    <row r="1899" spans="1:771 1026:1795 2050:2819 3074:3843 4098:4867 5122:5891 6146:6915 7170:7939 8194:8963 9218:9987 10242:11011 11266:12035 12290:13059 13314:14083 14338:15107 15362:16131" s="35" customFormat="1" x14ac:dyDescent="0.3">
      <c r="A1899" s="36"/>
      <c r="B1899" s="72" t="s">
        <v>1465</v>
      </c>
      <c r="C1899" s="47" t="s">
        <v>35</v>
      </c>
      <c r="D1899" s="39"/>
      <c r="E1899" s="73"/>
      <c r="F1899" s="40"/>
      <c r="G1899" s="41">
        <f>SUM(G1900:G1902)</f>
        <v>2462235.2000000002</v>
      </c>
      <c r="H1899" s="45"/>
    </row>
    <row r="1900" spans="1:771 1026:1795 2050:2819 3074:3843 4098:4867 5122:5891 6146:6915 7170:7939 8194:8963 9218:9987 10242:11011 11266:12035 12290:13059 13314:14083 14338:15107 15362:16131" s="35" customFormat="1" ht="46.8" x14ac:dyDescent="0.3">
      <c r="A1900" s="36"/>
      <c r="B1900" s="72"/>
      <c r="C1900" s="66" t="s">
        <v>1468</v>
      </c>
      <c r="D1900" s="39" t="s">
        <v>13</v>
      </c>
      <c r="E1900" s="73">
        <v>3.5920000000000001</v>
      </c>
      <c r="F1900" s="74">
        <f>789000*40%</f>
        <v>315600</v>
      </c>
      <c r="G1900" s="40">
        <f>E1900*F1900</f>
        <v>1133635.2</v>
      </c>
      <c r="H1900" s="45" t="s">
        <v>2374</v>
      </c>
    </row>
    <row r="1901" spans="1:771 1026:1795 2050:2819 3074:3843 4098:4867 5122:5891 6146:6915 7170:7939 8194:8963 9218:9987 10242:11011 11266:12035 12290:13059 13314:14083 14338:15107 15362:16131" s="35" customFormat="1" ht="18.600000000000001" x14ac:dyDescent="0.3">
      <c r="A1901" s="36"/>
      <c r="B1901" s="72"/>
      <c r="C1901" s="66" t="s">
        <v>305</v>
      </c>
      <c r="D1901" s="39" t="s">
        <v>13</v>
      </c>
      <c r="E1901" s="73">
        <f>1.3*7.3</f>
        <v>9.49</v>
      </c>
      <c r="F1901" s="40">
        <v>140000</v>
      </c>
      <c r="G1901" s="40">
        <f>E1901*F1901</f>
        <v>1328600</v>
      </c>
      <c r="H1901" s="45"/>
    </row>
    <row r="1902" spans="1:771 1026:1795 2050:2819 3074:3843 4098:4867 5122:5891 6146:6915 7170:7939 8194:8963 9218:9987 10242:11011 11266:12035 12290:13059 13314:14083 14338:15107 15362:16131" s="35" customFormat="1" ht="65.400000000000006" thickBot="1" x14ac:dyDescent="0.35">
      <c r="A1902" s="53"/>
      <c r="B1902" s="54"/>
      <c r="C1902" s="55" t="s">
        <v>2331</v>
      </c>
      <c r="D1902" s="56"/>
      <c r="E1902" s="5"/>
      <c r="F1902" s="6"/>
      <c r="G1902" s="57"/>
      <c r="H1902" s="58"/>
    </row>
    <row r="1903" spans="1:771 1026:1795 2050:2819 3074:3843 4098:4867 5122:5891 6146:6915 7170:7939 8194:8963 9218:9987 10242:11011 11266:12035 12290:13059 13314:14083 14338:15107 15362:16131" s="59" customFormat="1" ht="31.8" thickBot="1" x14ac:dyDescent="0.35">
      <c r="A1903" s="154"/>
      <c r="B1903" s="155" t="s">
        <v>26</v>
      </c>
      <c r="C1903" s="156"/>
      <c r="D1903" s="154"/>
      <c r="E1903" s="157"/>
      <c r="F1903" s="158"/>
      <c r="G1903" s="159">
        <f>SUM(G1896:G1902)/2</f>
        <v>121284135.19999999</v>
      </c>
      <c r="H1903" s="160"/>
      <c r="IX1903" s="35"/>
      <c r="IY1903" s="35"/>
      <c r="ST1903" s="35"/>
      <c r="SU1903" s="35"/>
      <c r="ACP1903" s="35"/>
      <c r="ACQ1903" s="35"/>
      <c r="AML1903" s="35"/>
      <c r="AMM1903" s="35"/>
      <c r="AWH1903" s="35"/>
      <c r="AWI1903" s="35"/>
      <c r="BGD1903" s="35"/>
      <c r="BGE1903" s="35"/>
      <c r="BPZ1903" s="35"/>
      <c r="BQA1903" s="35"/>
      <c r="BZV1903" s="35"/>
      <c r="BZW1903" s="35"/>
      <c r="CJR1903" s="35"/>
      <c r="CJS1903" s="35"/>
      <c r="CTN1903" s="35"/>
      <c r="CTO1903" s="35"/>
      <c r="DDJ1903" s="35"/>
      <c r="DDK1903" s="35"/>
      <c r="DNF1903" s="35"/>
      <c r="DNG1903" s="35"/>
      <c r="DXB1903" s="35"/>
      <c r="DXC1903" s="35"/>
      <c r="EGX1903" s="35"/>
      <c r="EGY1903" s="35"/>
      <c r="EQT1903" s="35"/>
      <c r="EQU1903" s="35"/>
      <c r="FAP1903" s="35"/>
      <c r="FAQ1903" s="35"/>
      <c r="FKL1903" s="35"/>
      <c r="FKM1903" s="35"/>
      <c r="FUH1903" s="35"/>
      <c r="FUI1903" s="35"/>
      <c r="GED1903" s="35"/>
      <c r="GEE1903" s="35"/>
      <c r="GNZ1903" s="35"/>
      <c r="GOA1903" s="35"/>
      <c r="GXV1903" s="35"/>
      <c r="GXW1903" s="35"/>
      <c r="HHR1903" s="35"/>
      <c r="HHS1903" s="35"/>
      <c r="HRN1903" s="35"/>
      <c r="HRO1903" s="35"/>
      <c r="IBJ1903" s="35"/>
      <c r="IBK1903" s="35"/>
      <c r="ILF1903" s="35"/>
      <c r="ILG1903" s="35"/>
      <c r="IVB1903" s="35"/>
      <c r="IVC1903" s="35"/>
      <c r="JEX1903" s="35"/>
      <c r="JEY1903" s="35"/>
      <c r="JOT1903" s="35"/>
      <c r="JOU1903" s="35"/>
      <c r="JYP1903" s="35"/>
      <c r="JYQ1903" s="35"/>
      <c r="KIL1903" s="35"/>
      <c r="KIM1903" s="35"/>
      <c r="KSH1903" s="35"/>
      <c r="KSI1903" s="35"/>
      <c r="LCD1903" s="35"/>
      <c r="LCE1903" s="35"/>
      <c r="LLZ1903" s="35"/>
      <c r="LMA1903" s="35"/>
      <c r="LVV1903" s="35"/>
      <c r="LVW1903" s="35"/>
      <c r="MFR1903" s="35"/>
      <c r="MFS1903" s="35"/>
      <c r="MPN1903" s="35"/>
      <c r="MPO1903" s="35"/>
      <c r="MZJ1903" s="35"/>
      <c r="MZK1903" s="35"/>
      <c r="NJF1903" s="35"/>
      <c r="NJG1903" s="35"/>
      <c r="NTB1903" s="35"/>
      <c r="NTC1903" s="35"/>
      <c r="OCX1903" s="35"/>
      <c r="OCY1903" s="35"/>
      <c r="OMT1903" s="35"/>
      <c r="OMU1903" s="35"/>
      <c r="OWP1903" s="35"/>
      <c r="OWQ1903" s="35"/>
      <c r="PGL1903" s="35"/>
      <c r="PGM1903" s="35"/>
      <c r="PQH1903" s="35"/>
      <c r="PQI1903" s="35"/>
      <c r="QAD1903" s="35"/>
      <c r="QAE1903" s="35"/>
      <c r="QJZ1903" s="35"/>
      <c r="QKA1903" s="35"/>
      <c r="QTV1903" s="35"/>
      <c r="QTW1903" s="35"/>
      <c r="RDR1903" s="35"/>
      <c r="RDS1903" s="35"/>
      <c r="RNN1903" s="35"/>
      <c r="RNO1903" s="35"/>
      <c r="RXJ1903" s="35"/>
      <c r="RXK1903" s="35"/>
      <c r="SHF1903" s="35"/>
      <c r="SHG1903" s="35"/>
      <c r="SRB1903" s="35"/>
      <c r="SRC1903" s="35"/>
      <c r="TAX1903" s="35"/>
      <c r="TAY1903" s="35"/>
      <c r="TKT1903" s="35"/>
      <c r="TKU1903" s="35"/>
      <c r="TUP1903" s="35"/>
      <c r="TUQ1903" s="35"/>
      <c r="UEL1903" s="35"/>
      <c r="UEM1903" s="35"/>
      <c r="UOH1903" s="35"/>
      <c r="UOI1903" s="35"/>
      <c r="UYD1903" s="35"/>
      <c r="UYE1903" s="35"/>
      <c r="VHZ1903" s="35"/>
      <c r="VIA1903" s="35"/>
      <c r="VRV1903" s="35"/>
      <c r="VRW1903" s="35"/>
      <c r="WBR1903" s="35"/>
      <c r="WBS1903" s="35"/>
      <c r="WLN1903" s="35"/>
      <c r="WLO1903" s="35"/>
      <c r="WVJ1903" s="35"/>
      <c r="WVK1903" s="35"/>
    </row>
    <row r="1904" spans="1:771 1026:1795 2050:2819 3074:3843 4098:4867 5122:5891 6146:6915 7170:7939 8194:8963 9218:9987 10242:11011 11266:12035 12290:13059 13314:14083 14338:15107 15362:16131" s="35" customFormat="1" ht="41.4" x14ac:dyDescent="0.3">
      <c r="A1904" s="28">
        <v>177</v>
      </c>
      <c r="B1904" s="29" t="s">
        <v>2249</v>
      </c>
      <c r="C1904" s="30" t="s">
        <v>2250</v>
      </c>
      <c r="D1904" s="31" t="s">
        <v>13</v>
      </c>
      <c r="E1904" s="32">
        <v>16.2</v>
      </c>
      <c r="F1904" s="33"/>
      <c r="G1904" s="33"/>
      <c r="H1904" s="34" t="s">
        <v>1283</v>
      </c>
    </row>
    <row r="1905" spans="1:771 1026:1795 2050:2819 3074:3843 4098:4867 5122:5891 6146:6915 7170:7939 8194:8963 9218:9987 10242:11011 11266:12035 12290:13059 13314:14083 14338:15107 15362:16131" s="35" customFormat="1" x14ac:dyDescent="0.3">
      <c r="A1905" s="36"/>
      <c r="B1905" s="72" t="s">
        <v>1469</v>
      </c>
      <c r="C1905" s="38" t="s">
        <v>14</v>
      </c>
      <c r="D1905" s="39"/>
      <c r="E1905" s="44"/>
      <c r="F1905" s="40"/>
      <c r="G1905" s="41">
        <f>SUM(G1906)</f>
        <v>315559800</v>
      </c>
      <c r="H1905" s="42"/>
    </row>
    <row r="1906" spans="1:771 1026:1795 2050:2819 3074:3843 4098:4867 5122:5891 6146:6915 7170:7939 8194:8963 9218:9987 10242:11011 11266:12035 12290:13059 13314:14083 14338:15107 15362:16131" s="35" customFormat="1" ht="78" x14ac:dyDescent="0.3">
      <c r="A1906" s="36"/>
      <c r="B1906" s="72" t="s">
        <v>1470</v>
      </c>
      <c r="C1906" s="48" t="s">
        <v>38</v>
      </c>
      <c r="D1906" s="39" t="s">
        <v>13</v>
      </c>
      <c r="E1906" s="44">
        <v>16.2</v>
      </c>
      <c r="F1906" s="161">
        <v>19479000</v>
      </c>
      <c r="G1906" s="40">
        <f>E1906*F1906</f>
        <v>315559800</v>
      </c>
      <c r="H1906" s="42"/>
    </row>
    <row r="1907" spans="1:771 1026:1795 2050:2819 3074:3843 4098:4867 5122:5891 6146:6915 7170:7939 8194:8963 9218:9987 10242:11011 11266:12035 12290:13059 13314:14083 14338:15107 15362:16131" s="35" customFormat="1" x14ac:dyDescent="0.3">
      <c r="A1907" s="36"/>
      <c r="B1907" s="72" t="s">
        <v>1471</v>
      </c>
      <c r="C1907" s="47" t="s">
        <v>35</v>
      </c>
      <c r="D1907" s="39"/>
      <c r="E1907" s="73"/>
      <c r="F1907" s="40"/>
      <c r="G1907" s="41">
        <f>SUM(G1908:G1909)</f>
        <v>5837800</v>
      </c>
      <c r="H1907" s="45"/>
    </row>
    <row r="1908" spans="1:771 1026:1795 2050:2819 3074:3843 4098:4867 5122:5891 6146:6915 7170:7939 8194:8963 9218:9987 10242:11011 11266:12035 12290:13059 13314:14083 14338:15107 15362:16131" s="35" customFormat="1" ht="62.4" x14ac:dyDescent="0.3">
      <c r="A1908" s="36"/>
      <c r="B1908" s="72"/>
      <c r="C1908" s="66" t="s">
        <v>1477</v>
      </c>
      <c r="D1908" s="39" t="s">
        <v>13</v>
      </c>
      <c r="E1908" s="73">
        <f>2*8</f>
        <v>16</v>
      </c>
      <c r="F1908" s="74">
        <f>907000*40%</f>
        <v>362800</v>
      </c>
      <c r="G1908" s="40">
        <f>E1908*F1908</f>
        <v>5804800</v>
      </c>
      <c r="H1908" s="45" t="s">
        <v>2525</v>
      </c>
    </row>
    <row r="1909" spans="1:771 1026:1795 2050:2819 3074:3843 4098:4867 5122:5891 6146:6915 7170:7939 8194:8963 9218:9987 10242:11011 11266:12035 12290:13059 13314:14083 14338:15107 15362:16131" s="35" customFormat="1" x14ac:dyDescent="0.3">
      <c r="A1909" s="36"/>
      <c r="B1909" s="72"/>
      <c r="C1909" s="66" t="s">
        <v>1472</v>
      </c>
      <c r="D1909" s="39" t="s">
        <v>19</v>
      </c>
      <c r="E1909" s="73">
        <v>4</v>
      </c>
      <c r="F1909" s="74">
        <f>33000/4</f>
        <v>8250</v>
      </c>
      <c r="G1909" s="40">
        <f>E1909*F1909</f>
        <v>33000</v>
      </c>
      <c r="H1909" s="45"/>
    </row>
    <row r="1910" spans="1:771 1026:1795 2050:2819 3074:3843 4098:4867 5122:5891 6146:6915 7170:7939 8194:8963 9218:9987 10242:11011 11266:12035 12290:13059 13314:14083 14338:15107 15362:16131" s="35" customFormat="1" ht="65.400000000000006" thickBot="1" x14ac:dyDescent="0.35">
      <c r="A1910" s="53"/>
      <c r="B1910" s="54"/>
      <c r="C1910" s="55" t="s">
        <v>2331</v>
      </c>
      <c r="D1910" s="56"/>
      <c r="E1910" s="5"/>
      <c r="F1910" s="6"/>
      <c r="G1910" s="57"/>
      <c r="H1910" s="58"/>
    </row>
    <row r="1911" spans="1:771 1026:1795 2050:2819 3074:3843 4098:4867 5122:5891 6146:6915 7170:7939 8194:8963 9218:9987 10242:11011 11266:12035 12290:13059 13314:14083 14338:15107 15362:16131" s="59" customFormat="1" ht="31.8" thickBot="1" x14ac:dyDescent="0.35">
      <c r="A1911" s="154"/>
      <c r="B1911" s="155" t="s">
        <v>26</v>
      </c>
      <c r="C1911" s="156"/>
      <c r="D1911" s="154"/>
      <c r="E1911" s="157"/>
      <c r="F1911" s="158"/>
      <c r="G1911" s="159">
        <f>SUM(G1904:G1910)/2</f>
        <v>321397600</v>
      </c>
      <c r="H1911" s="160"/>
      <c r="IX1911" s="35"/>
      <c r="IY1911" s="35"/>
      <c r="ST1911" s="35"/>
      <c r="SU1911" s="35"/>
      <c r="ACP1911" s="35"/>
      <c r="ACQ1911" s="35"/>
      <c r="AML1911" s="35"/>
      <c r="AMM1911" s="35"/>
      <c r="AWH1911" s="35"/>
      <c r="AWI1911" s="35"/>
      <c r="BGD1911" s="35"/>
      <c r="BGE1911" s="35"/>
      <c r="BPZ1911" s="35"/>
      <c r="BQA1911" s="35"/>
      <c r="BZV1911" s="35"/>
      <c r="BZW1911" s="35"/>
      <c r="CJR1911" s="35"/>
      <c r="CJS1911" s="35"/>
      <c r="CTN1911" s="35"/>
      <c r="CTO1911" s="35"/>
      <c r="DDJ1911" s="35"/>
      <c r="DDK1911" s="35"/>
      <c r="DNF1911" s="35"/>
      <c r="DNG1911" s="35"/>
      <c r="DXB1911" s="35"/>
      <c r="DXC1911" s="35"/>
      <c r="EGX1911" s="35"/>
      <c r="EGY1911" s="35"/>
      <c r="EQT1911" s="35"/>
      <c r="EQU1911" s="35"/>
      <c r="FAP1911" s="35"/>
      <c r="FAQ1911" s="35"/>
      <c r="FKL1911" s="35"/>
      <c r="FKM1911" s="35"/>
      <c r="FUH1911" s="35"/>
      <c r="FUI1911" s="35"/>
      <c r="GED1911" s="35"/>
      <c r="GEE1911" s="35"/>
      <c r="GNZ1911" s="35"/>
      <c r="GOA1911" s="35"/>
      <c r="GXV1911" s="35"/>
      <c r="GXW1911" s="35"/>
      <c r="HHR1911" s="35"/>
      <c r="HHS1911" s="35"/>
      <c r="HRN1911" s="35"/>
      <c r="HRO1911" s="35"/>
      <c r="IBJ1911" s="35"/>
      <c r="IBK1911" s="35"/>
      <c r="ILF1911" s="35"/>
      <c r="ILG1911" s="35"/>
      <c r="IVB1911" s="35"/>
      <c r="IVC1911" s="35"/>
      <c r="JEX1911" s="35"/>
      <c r="JEY1911" s="35"/>
      <c r="JOT1911" s="35"/>
      <c r="JOU1911" s="35"/>
      <c r="JYP1911" s="35"/>
      <c r="JYQ1911" s="35"/>
      <c r="KIL1911" s="35"/>
      <c r="KIM1911" s="35"/>
      <c r="KSH1911" s="35"/>
      <c r="KSI1911" s="35"/>
      <c r="LCD1911" s="35"/>
      <c r="LCE1911" s="35"/>
      <c r="LLZ1911" s="35"/>
      <c r="LMA1911" s="35"/>
      <c r="LVV1911" s="35"/>
      <c r="LVW1911" s="35"/>
      <c r="MFR1911" s="35"/>
      <c r="MFS1911" s="35"/>
      <c r="MPN1911" s="35"/>
      <c r="MPO1911" s="35"/>
      <c r="MZJ1911" s="35"/>
      <c r="MZK1911" s="35"/>
      <c r="NJF1911" s="35"/>
      <c r="NJG1911" s="35"/>
      <c r="NTB1911" s="35"/>
      <c r="NTC1911" s="35"/>
      <c r="OCX1911" s="35"/>
      <c r="OCY1911" s="35"/>
      <c r="OMT1911" s="35"/>
      <c r="OMU1911" s="35"/>
      <c r="OWP1911" s="35"/>
      <c r="OWQ1911" s="35"/>
      <c r="PGL1911" s="35"/>
      <c r="PGM1911" s="35"/>
      <c r="PQH1911" s="35"/>
      <c r="PQI1911" s="35"/>
      <c r="QAD1911" s="35"/>
      <c r="QAE1911" s="35"/>
      <c r="QJZ1911" s="35"/>
      <c r="QKA1911" s="35"/>
      <c r="QTV1911" s="35"/>
      <c r="QTW1911" s="35"/>
      <c r="RDR1911" s="35"/>
      <c r="RDS1911" s="35"/>
      <c r="RNN1911" s="35"/>
      <c r="RNO1911" s="35"/>
      <c r="RXJ1911" s="35"/>
      <c r="RXK1911" s="35"/>
      <c r="SHF1911" s="35"/>
      <c r="SHG1911" s="35"/>
      <c r="SRB1911" s="35"/>
      <c r="SRC1911" s="35"/>
      <c r="TAX1911" s="35"/>
      <c r="TAY1911" s="35"/>
      <c r="TKT1911" s="35"/>
      <c r="TKU1911" s="35"/>
      <c r="TUP1911" s="35"/>
      <c r="TUQ1911" s="35"/>
      <c r="UEL1911" s="35"/>
      <c r="UEM1911" s="35"/>
      <c r="UOH1911" s="35"/>
      <c r="UOI1911" s="35"/>
      <c r="UYD1911" s="35"/>
      <c r="UYE1911" s="35"/>
      <c r="VHZ1911" s="35"/>
      <c r="VIA1911" s="35"/>
      <c r="VRV1911" s="35"/>
      <c r="VRW1911" s="35"/>
      <c r="WBR1911" s="35"/>
      <c r="WBS1911" s="35"/>
      <c r="WLN1911" s="35"/>
      <c r="WLO1911" s="35"/>
      <c r="WVJ1911" s="35"/>
      <c r="WVK1911" s="35"/>
    </row>
    <row r="1912" spans="1:771 1026:1795 2050:2819 3074:3843 4098:4867 5122:5891 6146:6915 7170:7939 8194:8963 9218:9987 10242:11011 11266:12035 12290:13059 13314:14083 14338:15107 15362:16131" s="35" customFormat="1" ht="55.2" x14ac:dyDescent="0.3">
      <c r="A1912" s="28">
        <v>178</v>
      </c>
      <c r="B1912" s="29" t="s">
        <v>1473</v>
      </c>
      <c r="C1912" s="30" t="s">
        <v>2240</v>
      </c>
      <c r="D1912" s="31" t="s">
        <v>13</v>
      </c>
      <c r="E1912" s="32">
        <v>16</v>
      </c>
      <c r="F1912" s="33"/>
      <c r="G1912" s="33"/>
      <c r="H1912" s="34" t="s">
        <v>1476</v>
      </c>
    </row>
    <row r="1913" spans="1:771 1026:1795 2050:2819 3074:3843 4098:4867 5122:5891 6146:6915 7170:7939 8194:8963 9218:9987 10242:11011 11266:12035 12290:13059 13314:14083 14338:15107 15362:16131" s="35" customFormat="1" x14ac:dyDescent="0.3">
      <c r="A1913" s="36"/>
      <c r="B1913" s="72" t="s">
        <v>1474</v>
      </c>
      <c r="C1913" s="38" t="s">
        <v>14</v>
      </c>
      <c r="D1913" s="39"/>
      <c r="E1913" s="44"/>
      <c r="F1913" s="40"/>
      <c r="G1913" s="41">
        <f>SUM(G1914)</f>
        <v>166464000</v>
      </c>
      <c r="H1913" s="42"/>
    </row>
    <row r="1914" spans="1:771 1026:1795 2050:2819 3074:3843 4098:4867 5122:5891 6146:6915 7170:7939 8194:8963 9218:9987 10242:11011 11266:12035 12290:13059 13314:14083 14338:15107 15362:16131" s="35" customFormat="1" ht="78" x14ac:dyDescent="0.3">
      <c r="A1914" s="36"/>
      <c r="B1914" s="72" t="s">
        <v>1475</v>
      </c>
      <c r="C1914" s="43" t="s">
        <v>55</v>
      </c>
      <c r="D1914" s="39" t="s">
        <v>13</v>
      </c>
      <c r="E1914" s="44">
        <v>16</v>
      </c>
      <c r="F1914" s="153">
        <v>10404000</v>
      </c>
      <c r="G1914" s="40">
        <f>E1914*F1914</f>
        <v>166464000</v>
      </c>
      <c r="H1914" s="42"/>
    </row>
    <row r="1915" spans="1:771 1026:1795 2050:2819 3074:3843 4098:4867 5122:5891 6146:6915 7170:7939 8194:8963 9218:9987 10242:11011 11266:12035 12290:13059 13314:14083 14338:15107 15362:16131" s="35" customFormat="1" x14ac:dyDescent="0.3">
      <c r="A1915" s="36"/>
      <c r="B1915" s="38"/>
      <c r="C1915" s="47" t="s">
        <v>35</v>
      </c>
      <c r="D1915" s="39"/>
      <c r="E1915" s="73"/>
      <c r="F1915" s="40"/>
      <c r="G1915" s="41">
        <f>SUM(G1916:G1917)</f>
        <v>8922038.3999999985</v>
      </c>
      <c r="H1915" s="45"/>
    </row>
    <row r="1916" spans="1:771 1026:1795 2050:2819 3074:3843 4098:4867 5122:5891 6146:6915 7170:7939 8194:8963 9218:9987 10242:11011 11266:12035 12290:13059 13314:14083 14338:15107 15362:16131" s="35" customFormat="1" ht="82.8" x14ac:dyDescent="0.3">
      <c r="A1916" s="36"/>
      <c r="B1916" s="72"/>
      <c r="C1916" s="101" t="s">
        <v>1478</v>
      </c>
      <c r="D1916" s="39" t="s">
        <v>13</v>
      </c>
      <c r="E1916" s="73">
        <v>4.0679999999999996</v>
      </c>
      <c r="F1916" s="74">
        <f>3592000*40%</f>
        <v>1436800</v>
      </c>
      <c r="G1916" s="40">
        <f>E1916*F1916</f>
        <v>5844902.3999999994</v>
      </c>
      <c r="H1916" s="45" t="s">
        <v>2526</v>
      </c>
    </row>
    <row r="1917" spans="1:771 1026:1795 2050:2819 3074:3843 4098:4867 5122:5891 6146:6915 7170:7939 8194:8963 9218:9987 10242:11011 11266:12035 12290:13059 13314:14083 14338:15107 15362:16131" s="35" customFormat="1" ht="46.8" x14ac:dyDescent="0.3">
      <c r="A1917" s="36"/>
      <c r="B1917" s="72"/>
      <c r="C1917" s="66" t="s">
        <v>1479</v>
      </c>
      <c r="D1917" s="39" t="s">
        <v>13</v>
      </c>
      <c r="E1917" s="73">
        <v>14.246</v>
      </c>
      <c r="F1917" s="74">
        <f>540000*40%</f>
        <v>216000</v>
      </c>
      <c r="G1917" s="40">
        <f>E1917*F1917</f>
        <v>3077136</v>
      </c>
      <c r="H1917" s="45" t="s">
        <v>2374</v>
      </c>
    </row>
    <row r="1918" spans="1:771 1026:1795 2050:2819 3074:3843 4098:4867 5122:5891 6146:6915 7170:7939 8194:8963 9218:9987 10242:11011 11266:12035 12290:13059 13314:14083 14338:15107 15362:16131" s="35" customFormat="1" x14ac:dyDescent="0.3">
      <c r="A1918" s="36"/>
      <c r="B1918" s="46"/>
      <c r="C1918" s="51" t="s">
        <v>23</v>
      </c>
      <c r="D1918" s="39"/>
      <c r="E1918" s="1"/>
      <c r="F1918" s="2"/>
      <c r="G1918" s="41">
        <f>SUM(G1919)</f>
        <v>6120000</v>
      </c>
      <c r="H1918" s="52"/>
    </row>
    <row r="1919" spans="1:771 1026:1795 2050:2819 3074:3843 4098:4867 5122:5891 6146:6915 7170:7939 8194:8963 9218:9987 10242:11011 11266:12035 12290:13059 13314:14083 14338:15107 15362:16131" s="35" customFormat="1" x14ac:dyDescent="0.3">
      <c r="A1919" s="36"/>
      <c r="B1919" s="46"/>
      <c r="C1919" s="50" t="s">
        <v>24</v>
      </c>
      <c r="D1919" s="39" t="s">
        <v>25</v>
      </c>
      <c r="E1919" s="1">
        <f>2*30*6</f>
        <v>360</v>
      </c>
      <c r="F1919" s="2">
        <v>17000</v>
      </c>
      <c r="G1919" s="40">
        <f>E1919*F1919</f>
        <v>6120000</v>
      </c>
      <c r="H1919" s="42"/>
    </row>
    <row r="1920" spans="1:771 1026:1795 2050:2819 3074:3843 4098:4867 5122:5891 6146:6915 7170:7939 8194:8963 9218:9987 10242:11011 11266:12035 12290:13059 13314:14083 14338:15107 15362:16131" s="35" customFormat="1" ht="65.400000000000006" thickBot="1" x14ac:dyDescent="0.35">
      <c r="A1920" s="53"/>
      <c r="B1920" s="54"/>
      <c r="C1920" s="55" t="s">
        <v>2331</v>
      </c>
      <c r="D1920" s="56"/>
      <c r="E1920" s="5"/>
      <c r="F1920" s="6"/>
      <c r="G1920" s="57"/>
      <c r="H1920" s="58"/>
    </row>
    <row r="1921" spans="1:771 1026:1795 2050:2819 3074:3843 4098:4867 5122:5891 6146:6915 7170:7939 8194:8963 9218:9987 10242:11011 11266:12035 12290:13059 13314:14083 14338:15107 15362:16131" s="59" customFormat="1" ht="31.8" thickBot="1" x14ac:dyDescent="0.35">
      <c r="A1921" s="154"/>
      <c r="B1921" s="155" t="s">
        <v>26</v>
      </c>
      <c r="C1921" s="156"/>
      <c r="D1921" s="154"/>
      <c r="E1921" s="157"/>
      <c r="F1921" s="158"/>
      <c r="G1921" s="159">
        <f>SUM(G1912:G1920)/2</f>
        <v>181506038.39999998</v>
      </c>
      <c r="H1921" s="160"/>
      <c r="IX1921" s="35"/>
      <c r="IY1921" s="35"/>
      <c r="ST1921" s="35"/>
      <c r="SU1921" s="35"/>
      <c r="ACP1921" s="35"/>
      <c r="ACQ1921" s="35"/>
      <c r="AML1921" s="35"/>
      <c r="AMM1921" s="35"/>
      <c r="AWH1921" s="35"/>
      <c r="AWI1921" s="35"/>
      <c r="BGD1921" s="35"/>
      <c r="BGE1921" s="35"/>
      <c r="BPZ1921" s="35"/>
      <c r="BQA1921" s="35"/>
      <c r="BZV1921" s="35"/>
      <c r="BZW1921" s="35"/>
      <c r="CJR1921" s="35"/>
      <c r="CJS1921" s="35"/>
      <c r="CTN1921" s="35"/>
      <c r="CTO1921" s="35"/>
      <c r="DDJ1921" s="35"/>
      <c r="DDK1921" s="35"/>
      <c r="DNF1921" s="35"/>
      <c r="DNG1921" s="35"/>
      <c r="DXB1921" s="35"/>
      <c r="DXC1921" s="35"/>
      <c r="EGX1921" s="35"/>
      <c r="EGY1921" s="35"/>
      <c r="EQT1921" s="35"/>
      <c r="EQU1921" s="35"/>
      <c r="FAP1921" s="35"/>
      <c r="FAQ1921" s="35"/>
      <c r="FKL1921" s="35"/>
      <c r="FKM1921" s="35"/>
      <c r="FUH1921" s="35"/>
      <c r="FUI1921" s="35"/>
      <c r="GED1921" s="35"/>
      <c r="GEE1921" s="35"/>
      <c r="GNZ1921" s="35"/>
      <c r="GOA1921" s="35"/>
      <c r="GXV1921" s="35"/>
      <c r="GXW1921" s="35"/>
      <c r="HHR1921" s="35"/>
      <c r="HHS1921" s="35"/>
      <c r="HRN1921" s="35"/>
      <c r="HRO1921" s="35"/>
      <c r="IBJ1921" s="35"/>
      <c r="IBK1921" s="35"/>
      <c r="ILF1921" s="35"/>
      <c r="ILG1921" s="35"/>
      <c r="IVB1921" s="35"/>
      <c r="IVC1921" s="35"/>
      <c r="JEX1921" s="35"/>
      <c r="JEY1921" s="35"/>
      <c r="JOT1921" s="35"/>
      <c r="JOU1921" s="35"/>
      <c r="JYP1921" s="35"/>
      <c r="JYQ1921" s="35"/>
      <c r="KIL1921" s="35"/>
      <c r="KIM1921" s="35"/>
      <c r="KSH1921" s="35"/>
      <c r="KSI1921" s="35"/>
      <c r="LCD1921" s="35"/>
      <c r="LCE1921" s="35"/>
      <c r="LLZ1921" s="35"/>
      <c r="LMA1921" s="35"/>
      <c r="LVV1921" s="35"/>
      <c r="LVW1921" s="35"/>
      <c r="MFR1921" s="35"/>
      <c r="MFS1921" s="35"/>
      <c r="MPN1921" s="35"/>
      <c r="MPO1921" s="35"/>
      <c r="MZJ1921" s="35"/>
      <c r="MZK1921" s="35"/>
      <c r="NJF1921" s="35"/>
      <c r="NJG1921" s="35"/>
      <c r="NTB1921" s="35"/>
      <c r="NTC1921" s="35"/>
      <c r="OCX1921" s="35"/>
      <c r="OCY1921" s="35"/>
      <c r="OMT1921" s="35"/>
      <c r="OMU1921" s="35"/>
      <c r="OWP1921" s="35"/>
      <c r="OWQ1921" s="35"/>
      <c r="PGL1921" s="35"/>
      <c r="PGM1921" s="35"/>
      <c r="PQH1921" s="35"/>
      <c r="PQI1921" s="35"/>
      <c r="QAD1921" s="35"/>
      <c r="QAE1921" s="35"/>
      <c r="QJZ1921" s="35"/>
      <c r="QKA1921" s="35"/>
      <c r="QTV1921" s="35"/>
      <c r="QTW1921" s="35"/>
      <c r="RDR1921" s="35"/>
      <c r="RDS1921" s="35"/>
      <c r="RNN1921" s="35"/>
      <c r="RNO1921" s="35"/>
      <c r="RXJ1921" s="35"/>
      <c r="RXK1921" s="35"/>
      <c r="SHF1921" s="35"/>
      <c r="SHG1921" s="35"/>
      <c r="SRB1921" s="35"/>
      <c r="SRC1921" s="35"/>
      <c r="TAX1921" s="35"/>
      <c r="TAY1921" s="35"/>
      <c r="TKT1921" s="35"/>
      <c r="TKU1921" s="35"/>
      <c r="TUP1921" s="35"/>
      <c r="TUQ1921" s="35"/>
      <c r="UEL1921" s="35"/>
      <c r="UEM1921" s="35"/>
      <c r="UOH1921" s="35"/>
      <c r="UOI1921" s="35"/>
      <c r="UYD1921" s="35"/>
      <c r="UYE1921" s="35"/>
      <c r="VHZ1921" s="35"/>
      <c r="VIA1921" s="35"/>
      <c r="VRV1921" s="35"/>
      <c r="VRW1921" s="35"/>
      <c r="WBR1921" s="35"/>
      <c r="WBS1921" s="35"/>
      <c r="WLN1921" s="35"/>
      <c r="WLO1921" s="35"/>
      <c r="WVJ1921" s="35"/>
      <c r="WVK1921" s="35"/>
    </row>
    <row r="1922" spans="1:771 1026:1795 2050:2819 3074:3843 4098:4867 5122:5891 6146:6915 7170:7939 8194:8963 9218:9987 10242:11011 11266:12035 12290:13059 13314:14083 14338:15107 15362:16131" s="35" customFormat="1" ht="55.2" x14ac:dyDescent="0.3">
      <c r="A1922" s="28">
        <v>179</v>
      </c>
      <c r="B1922" s="29" t="s">
        <v>1480</v>
      </c>
      <c r="C1922" s="30" t="s">
        <v>1491</v>
      </c>
      <c r="D1922" s="31" t="s">
        <v>13</v>
      </c>
      <c r="E1922" s="32">
        <f>12.7+7.7</f>
        <v>20.399999999999999</v>
      </c>
      <c r="F1922" s="33"/>
      <c r="G1922" s="33"/>
      <c r="H1922" s="34" t="s">
        <v>1476</v>
      </c>
    </row>
    <row r="1923" spans="1:771 1026:1795 2050:2819 3074:3843 4098:4867 5122:5891 6146:6915 7170:7939 8194:8963 9218:9987 10242:11011 11266:12035 12290:13059 13314:14083 14338:15107 15362:16131" s="35" customFormat="1" x14ac:dyDescent="0.3">
      <c r="A1923" s="36"/>
      <c r="B1923" s="72" t="s">
        <v>1481</v>
      </c>
      <c r="C1923" s="38" t="s">
        <v>14</v>
      </c>
      <c r="D1923" s="39"/>
      <c r="E1923" s="44"/>
      <c r="F1923" s="40"/>
      <c r="G1923" s="41">
        <f>SUM(G1924:G1926)</f>
        <v>315241200</v>
      </c>
      <c r="H1923" s="42"/>
    </row>
    <row r="1924" spans="1:771 1026:1795 2050:2819 3074:3843 4098:4867 5122:5891 6146:6915 7170:7939 8194:8963 9218:9987 10242:11011 11266:12035 12290:13059 13314:14083 14338:15107 15362:16131" s="35" customFormat="1" ht="78" x14ac:dyDescent="0.3">
      <c r="A1924" s="36"/>
      <c r="B1924" s="72" t="s">
        <v>1482</v>
      </c>
      <c r="C1924" s="43" t="s">
        <v>55</v>
      </c>
      <c r="D1924" s="39" t="s">
        <v>13</v>
      </c>
      <c r="E1924" s="44">
        <f>12.7+7.7</f>
        <v>20.399999999999999</v>
      </c>
      <c r="F1924" s="153">
        <v>10404000</v>
      </c>
      <c r="G1924" s="40">
        <f>E1924*F1924</f>
        <v>212241600</v>
      </c>
      <c r="H1924" s="42"/>
    </row>
    <row r="1925" spans="1:771 1026:1795 2050:2819 3074:3843 4098:4867 5122:5891 6146:6915 7170:7939 8194:8963 9218:9987 10242:11011 11266:12035 12290:13059 13314:14083 14338:15107 15362:16131" s="35" customFormat="1" ht="55.2" x14ac:dyDescent="0.3">
      <c r="A1925" s="36"/>
      <c r="B1925" s="64"/>
      <c r="C1925" s="48" t="s">
        <v>1544</v>
      </c>
      <c r="D1925" s="39" t="s">
        <v>13</v>
      </c>
      <c r="E1925" s="44">
        <v>9.9</v>
      </c>
      <c r="F1925" s="40"/>
      <c r="G1925" s="40"/>
      <c r="H1925" s="42" t="s">
        <v>1545</v>
      </c>
    </row>
    <row r="1926" spans="1:771 1026:1795 2050:2819 3074:3843 4098:4867 5122:5891 6146:6915 7170:7939 8194:8963 9218:9987 10242:11011 11266:12035 12290:13059 13314:14083 14338:15107 15362:16131" s="35" customFormat="1" ht="31.2" x14ac:dyDescent="0.3">
      <c r="A1926" s="36"/>
      <c r="B1926" s="72"/>
      <c r="C1926" s="43" t="s">
        <v>55</v>
      </c>
      <c r="D1926" s="39" t="s">
        <v>13</v>
      </c>
      <c r="E1926" s="44">
        <v>9.9</v>
      </c>
      <c r="F1926" s="153">
        <v>10404000</v>
      </c>
      <c r="G1926" s="40">
        <f>E1926*F1926</f>
        <v>102999600</v>
      </c>
      <c r="H1926" s="42"/>
    </row>
    <row r="1927" spans="1:771 1026:1795 2050:2819 3074:3843 4098:4867 5122:5891 6146:6915 7170:7939 8194:8963 9218:9987 10242:11011 11266:12035 12290:13059 13314:14083 14338:15107 15362:16131" s="35" customFormat="1" x14ac:dyDescent="0.3">
      <c r="A1927" s="36"/>
      <c r="B1927" s="72" t="s">
        <v>1483</v>
      </c>
      <c r="C1927" s="47" t="s">
        <v>35</v>
      </c>
      <c r="D1927" s="39"/>
      <c r="E1927" s="73"/>
      <c r="F1927" s="40"/>
      <c r="G1927" s="41">
        <f>SUM(G1928:G1932)</f>
        <v>0</v>
      </c>
      <c r="H1927" s="45"/>
    </row>
    <row r="1928" spans="1:771 1026:1795 2050:2819 3074:3843 4098:4867 5122:5891 6146:6915 7170:7939 8194:8963 9218:9987 10242:11011 11266:12035 12290:13059 13314:14083 14338:15107 15362:16131" s="35" customFormat="1" ht="69" x14ac:dyDescent="0.3">
      <c r="A1928" s="36"/>
      <c r="B1928" s="72"/>
      <c r="C1928" s="101" t="s">
        <v>1484</v>
      </c>
      <c r="D1928" s="39" t="s">
        <v>13</v>
      </c>
      <c r="E1928" s="73">
        <v>13.27</v>
      </c>
      <c r="F1928" s="74"/>
      <c r="G1928" s="40">
        <f>E1928*F1928</f>
        <v>0</v>
      </c>
      <c r="H1928" s="45" t="s">
        <v>2527</v>
      </c>
    </row>
    <row r="1929" spans="1:771 1026:1795 2050:2819 3074:3843 4098:4867 5122:5891 6146:6915 7170:7939 8194:8963 9218:9987 10242:11011 11266:12035 12290:13059 13314:14083 14338:15107 15362:16131" s="35" customFormat="1" ht="46.8" x14ac:dyDescent="0.3">
      <c r="A1929" s="36"/>
      <c r="B1929" s="72"/>
      <c r="C1929" s="66" t="s">
        <v>1485</v>
      </c>
      <c r="D1929" s="39" t="s">
        <v>13</v>
      </c>
      <c r="E1929" s="73">
        <f>2*4</f>
        <v>8</v>
      </c>
      <c r="F1929" s="74"/>
      <c r="G1929" s="40">
        <f>E1929*F1929</f>
        <v>0</v>
      </c>
      <c r="H1929" s="45" t="s">
        <v>2528</v>
      </c>
    </row>
    <row r="1930" spans="1:771 1026:1795 2050:2819 3074:3843 4098:4867 5122:5891 6146:6915 7170:7939 8194:8963 9218:9987 10242:11011 11266:12035 12290:13059 13314:14083 14338:15107 15362:16131" s="35" customFormat="1" ht="69" x14ac:dyDescent="0.3">
      <c r="A1930" s="36"/>
      <c r="B1930" s="72"/>
      <c r="C1930" s="101" t="s">
        <v>1546</v>
      </c>
      <c r="D1930" s="39" t="s">
        <v>13</v>
      </c>
      <c r="E1930" s="73">
        <v>2.4</v>
      </c>
      <c r="F1930" s="74"/>
      <c r="G1930" s="40">
        <f>E1930*F1930</f>
        <v>0</v>
      </c>
      <c r="H1930" s="45" t="s">
        <v>2529</v>
      </c>
    </row>
    <row r="1931" spans="1:771 1026:1795 2050:2819 3074:3843 4098:4867 5122:5891 6146:6915 7170:7939 8194:8963 9218:9987 10242:11011 11266:12035 12290:13059 13314:14083 14338:15107 15362:16131" s="35" customFormat="1" ht="46.8" x14ac:dyDescent="0.3">
      <c r="A1931" s="36"/>
      <c r="B1931" s="72"/>
      <c r="C1931" s="66" t="s">
        <v>1547</v>
      </c>
      <c r="D1931" s="39" t="s">
        <v>13</v>
      </c>
      <c r="E1931" s="73">
        <v>7.8</v>
      </c>
      <c r="F1931" s="74"/>
      <c r="G1931" s="40">
        <f>E1931*F1931</f>
        <v>0</v>
      </c>
      <c r="H1931" s="45" t="s">
        <v>2530</v>
      </c>
    </row>
    <row r="1932" spans="1:771 1026:1795 2050:2819 3074:3843 4098:4867 5122:5891 6146:6915 7170:7939 8194:8963 9218:9987 10242:11011 11266:12035 12290:13059 13314:14083 14338:15107 15362:16131" s="35" customFormat="1" x14ac:dyDescent="0.3">
      <c r="A1932" s="36"/>
      <c r="B1932" s="72"/>
      <c r="C1932" s="66" t="s">
        <v>105</v>
      </c>
      <c r="D1932" s="39" t="s">
        <v>106</v>
      </c>
      <c r="E1932" s="73">
        <v>1</v>
      </c>
      <c r="F1932" s="74"/>
      <c r="G1932" s="40">
        <f>E1932*F1932</f>
        <v>0</v>
      </c>
      <c r="H1932" s="52" t="s">
        <v>2353</v>
      </c>
    </row>
    <row r="1933" spans="1:771 1026:1795 2050:2819 3074:3843 4098:4867 5122:5891 6146:6915 7170:7939 8194:8963 9218:9987 10242:11011 11266:12035 12290:13059 13314:14083 14338:15107 15362:16131" s="35" customFormat="1" x14ac:dyDescent="0.3">
      <c r="A1933" s="36"/>
      <c r="B1933" s="46"/>
      <c r="C1933" s="51" t="s">
        <v>23</v>
      </c>
      <c r="D1933" s="39"/>
      <c r="E1933" s="1"/>
      <c r="F1933" s="2"/>
      <c r="G1933" s="41">
        <f>SUM(G1934)</f>
        <v>3060000</v>
      </c>
      <c r="H1933" s="52"/>
    </row>
    <row r="1934" spans="1:771 1026:1795 2050:2819 3074:3843 4098:4867 5122:5891 6146:6915 7170:7939 8194:8963 9218:9987 10242:11011 11266:12035 12290:13059 13314:14083 14338:15107 15362:16131" s="35" customFormat="1" x14ac:dyDescent="0.3">
      <c r="A1934" s="36"/>
      <c r="B1934" s="46"/>
      <c r="C1934" s="50" t="s">
        <v>24</v>
      </c>
      <c r="D1934" s="39" t="s">
        <v>25</v>
      </c>
      <c r="E1934" s="1">
        <f>1*30*6</f>
        <v>180</v>
      </c>
      <c r="F1934" s="2">
        <v>17000</v>
      </c>
      <c r="G1934" s="40">
        <f>E1934*F1934</f>
        <v>3060000</v>
      </c>
      <c r="H1934" s="42"/>
    </row>
    <row r="1935" spans="1:771 1026:1795 2050:2819 3074:3843 4098:4867 5122:5891 6146:6915 7170:7939 8194:8963 9218:9987 10242:11011 11266:12035 12290:13059 13314:14083 14338:15107 15362:16131" s="35" customFormat="1" ht="65.400000000000006" thickBot="1" x14ac:dyDescent="0.35">
      <c r="A1935" s="53"/>
      <c r="B1935" s="54"/>
      <c r="C1935" s="55" t="s">
        <v>2331</v>
      </c>
      <c r="D1935" s="56"/>
      <c r="E1935" s="5"/>
      <c r="F1935" s="6"/>
      <c r="G1935" s="57"/>
      <c r="H1935" s="58"/>
    </row>
    <row r="1936" spans="1:771 1026:1795 2050:2819 3074:3843 4098:4867 5122:5891 6146:6915 7170:7939 8194:8963 9218:9987 10242:11011 11266:12035 12290:13059 13314:14083 14338:15107 15362:16131" s="59" customFormat="1" ht="31.8" thickBot="1" x14ac:dyDescent="0.35">
      <c r="A1936" s="154"/>
      <c r="B1936" s="155" t="s">
        <v>26</v>
      </c>
      <c r="C1936" s="156"/>
      <c r="D1936" s="154"/>
      <c r="E1936" s="157"/>
      <c r="F1936" s="158"/>
      <c r="G1936" s="159">
        <f>SUM(G1922:G1935)/2</f>
        <v>318301200</v>
      </c>
      <c r="H1936" s="160"/>
      <c r="IX1936" s="35"/>
      <c r="IY1936" s="35"/>
      <c r="ST1936" s="35"/>
      <c r="SU1936" s="35"/>
      <c r="ACP1936" s="35"/>
      <c r="ACQ1936" s="35"/>
      <c r="AML1936" s="35"/>
      <c r="AMM1936" s="35"/>
      <c r="AWH1936" s="35"/>
      <c r="AWI1936" s="35"/>
      <c r="BGD1936" s="35"/>
      <c r="BGE1936" s="35"/>
      <c r="BPZ1936" s="35"/>
      <c r="BQA1936" s="35"/>
      <c r="BZV1936" s="35"/>
      <c r="BZW1936" s="35"/>
      <c r="CJR1936" s="35"/>
      <c r="CJS1936" s="35"/>
      <c r="CTN1936" s="35"/>
      <c r="CTO1936" s="35"/>
      <c r="DDJ1936" s="35"/>
      <c r="DDK1936" s="35"/>
      <c r="DNF1936" s="35"/>
      <c r="DNG1936" s="35"/>
      <c r="DXB1936" s="35"/>
      <c r="DXC1936" s="35"/>
      <c r="EGX1936" s="35"/>
      <c r="EGY1936" s="35"/>
      <c r="EQT1936" s="35"/>
      <c r="EQU1936" s="35"/>
      <c r="FAP1936" s="35"/>
      <c r="FAQ1936" s="35"/>
      <c r="FKL1936" s="35"/>
      <c r="FKM1936" s="35"/>
      <c r="FUH1936" s="35"/>
      <c r="FUI1936" s="35"/>
      <c r="GED1936" s="35"/>
      <c r="GEE1936" s="35"/>
      <c r="GNZ1936" s="35"/>
      <c r="GOA1936" s="35"/>
      <c r="GXV1936" s="35"/>
      <c r="GXW1936" s="35"/>
      <c r="HHR1936" s="35"/>
      <c r="HHS1936" s="35"/>
      <c r="HRN1936" s="35"/>
      <c r="HRO1936" s="35"/>
      <c r="IBJ1936" s="35"/>
      <c r="IBK1936" s="35"/>
      <c r="ILF1936" s="35"/>
      <c r="ILG1936" s="35"/>
      <c r="IVB1936" s="35"/>
      <c r="IVC1936" s="35"/>
      <c r="JEX1936" s="35"/>
      <c r="JEY1936" s="35"/>
      <c r="JOT1936" s="35"/>
      <c r="JOU1936" s="35"/>
      <c r="JYP1936" s="35"/>
      <c r="JYQ1936" s="35"/>
      <c r="KIL1936" s="35"/>
      <c r="KIM1936" s="35"/>
      <c r="KSH1936" s="35"/>
      <c r="KSI1936" s="35"/>
      <c r="LCD1936" s="35"/>
      <c r="LCE1936" s="35"/>
      <c r="LLZ1936" s="35"/>
      <c r="LMA1936" s="35"/>
      <c r="LVV1936" s="35"/>
      <c r="LVW1936" s="35"/>
      <c r="MFR1936" s="35"/>
      <c r="MFS1936" s="35"/>
      <c r="MPN1936" s="35"/>
      <c r="MPO1936" s="35"/>
      <c r="MZJ1936" s="35"/>
      <c r="MZK1936" s="35"/>
      <c r="NJF1936" s="35"/>
      <c r="NJG1936" s="35"/>
      <c r="NTB1936" s="35"/>
      <c r="NTC1936" s="35"/>
      <c r="OCX1936" s="35"/>
      <c r="OCY1936" s="35"/>
      <c r="OMT1936" s="35"/>
      <c r="OMU1936" s="35"/>
      <c r="OWP1936" s="35"/>
      <c r="OWQ1936" s="35"/>
      <c r="PGL1936" s="35"/>
      <c r="PGM1936" s="35"/>
      <c r="PQH1936" s="35"/>
      <c r="PQI1936" s="35"/>
      <c r="QAD1936" s="35"/>
      <c r="QAE1936" s="35"/>
      <c r="QJZ1936" s="35"/>
      <c r="QKA1936" s="35"/>
      <c r="QTV1936" s="35"/>
      <c r="QTW1936" s="35"/>
      <c r="RDR1936" s="35"/>
      <c r="RDS1936" s="35"/>
      <c r="RNN1936" s="35"/>
      <c r="RNO1936" s="35"/>
      <c r="RXJ1936" s="35"/>
      <c r="RXK1936" s="35"/>
      <c r="SHF1936" s="35"/>
      <c r="SHG1936" s="35"/>
      <c r="SRB1936" s="35"/>
      <c r="SRC1936" s="35"/>
      <c r="TAX1936" s="35"/>
      <c r="TAY1936" s="35"/>
      <c r="TKT1936" s="35"/>
      <c r="TKU1936" s="35"/>
      <c r="TUP1936" s="35"/>
      <c r="TUQ1936" s="35"/>
      <c r="UEL1936" s="35"/>
      <c r="UEM1936" s="35"/>
      <c r="UOH1936" s="35"/>
      <c r="UOI1936" s="35"/>
      <c r="UYD1936" s="35"/>
      <c r="UYE1936" s="35"/>
      <c r="VHZ1936" s="35"/>
      <c r="VIA1936" s="35"/>
      <c r="VRV1936" s="35"/>
      <c r="VRW1936" s="35"/>
      <c r="WBR1936" s="35"/>
      <c r="WBS1936" s="35"/>
      <c r="WLN1936" s="35"/>
      <c r="WLO1936" s="35"/>
      <c r="WVJ1936" s="35"/>
      <c r="WVK1936" s="35"/>
    </row>
    <row r="1937" spans="1:771 1026:1795 2050:2819 3074:3843 4098:4867 5122:5891 6146:6915 7170:7939 8194:8963 9218:9987 10242:11011 11266:12035 12290:13059 13314:14083 14338:15107 15362:16131" s="35" customFormat="1" ht="55.2" x14ac:dyDescent="0.3">
      <c r="A1937" s="28">
        <v>180</v>
      </c>
      <c r="B1937" s="29" t="s">
        <v>1492</v>
      </c>
      <c r="C1937" s="30" t="s">
        <v>1496</v>
      </c>
      <c r="D1937" s="31" t="s">
        <v>13</v>
      </c>
      <c r="E1937" s="32">
        <v>8.6</v>
      </c>
      <c r="F1937" s="33"/>
      <c r="G1937" s="33"/>
      <c r="H1937" s="34" t="s">
        <v>1488</v>
      </c>
    </row>
    <row r="1938" spans="1:771 1026:1795 2050:2819 3074:3843 4098:4867 5122:5891 6146:6915 7170:7939 8194:8963 9218:9987 10242:11011 11266:12035 12290:13059 13314:14083 14338:15107 15362:16131" s="35" customFormat="1" x14ac:dyDescent="0.3">
      <c r="A1938" s="36"/>
      <c r="B1938" s="72" t="s">
        <v>1493</v>
      </c>
      <c r="C1938" s="38" t="s">
        <v>14</v>
      </c>
      <c r="D1938" s="39"/>
      <c r="E1938" s="44"/>
      <c r="F1938" s="40"/>
      <c r="G1938" s="41">
        <f>SUM(G1939)</f>
        <v>167519400</v>
      </c>
      <c r="H1938" s="42"/>
    </row>
    <row r="1939" spans="1:771 1026:1795 2050:2819 3074:3843 4098:4867 5122:5891 6146:6915 7170:7939 8194:8963 9218:9987 10242:11011 11266:12035 12290:13059 13314:14083 14338:15107 15362:16131" s="35" customFormat="1" ht="62.4" x14ac:dyDescent="0.3">
      <c r="A1939" s="36"/>
      <c r="B1939" s="72" t="s">
        <v>1494</v>
      </c>
      <c r="C1939" s="48" t="s">
        <v>38</v>
      </c>
      <c r="D1939" s="39" t="s">
        <v>13</v>
      </c>
      <c r="E1939" s="44">
        <v>8.6</v>
      </c>
      <c r="F1939" s="161">
        <v>19479000</v>
      </c>
      <c r="G1939" s="40">
        <f>E1939*F1939</f>
        <v>167519400</v>
      </c>
      <c r="H1939" s="42"/>
    </row>
    <row r="1940" spans="1:771 1026:1795 2050:2819 3074:3843 4098:4867 5122:5891 6146:6915 7170:7939 8194:8963 9218:9987 10242:11011 11266:12035 12290:13059 13314:14083 14338:15107 15362:16131" s="35" customFormat="1" x14ac:dyDescent="0.3">
      <c r="A1940" s="36"/>
      <c r="B1940" s="72" t="s">
        <v>1495</v>
      </c>
      <c r="C1940" s="47" t="s">
        <v>35</v>
      </c>
      <c r="D1940" s="39"/>
      <c r="E1940" s="73"/>
      <c r="F1940" s="40"/>
      <c r="G1940" s="41">
        <f>SUM(G1941:G1945)</f>
        <v>13987024</v>
      </c>
      <c r="H1940" s="45"/>
    </row>
    <row r="1941" spans="1:771 1026:1795 2050:2819 3074:3843 4098:4867 5122:5891 6146:6915 7170:7939 8194:8963 9218:9987 10242:11011 11266:12035 12290:13059 13314:14083 14338:15107 15362:16131" s="35" customFormat="1" ht="62.4" x14ac:dyDescent="0.3">
      <c r="A1941" s="36"/>
      <c r="B1941" s="72"/>
      <c r="C1941" s="66" t="s">
        <v>1497</v>
      </c>
      <c r="D1941" s="39" t="s">
        <v>13</v>
      </c>
      <c r="E1941" s="73">
        <f>2*2.75</f>
        <v>5.5</v>
      </c>
      <c r="F1941" s="74">
        <f>3592000*40%</f>
        <v>1436800</v>
      </c>
      <c r="G1941" s="40">
        <f>E1941*F1941</f>
        <v>7902400</v>
      </c>
      <c r="H1941" s="45" t="s">
        <v>2531</v>
      </c>
    </row>
    <row r="1942" spans="1:771 1026:1795 2050:2819 3074:3843 4098:4867 5122:5891 6146:6915 7170:7939 8194:8963 9218:9987 10242:11011 11266:12035 12290:13059 13314:14083 14338:15107 15362:16131" s="35" customFormat="1" ht="46.8" x14ac:dyDescent="0.3">
      <c r="A1942" s="36"/>
      <c r="B1942" s="72"/>
      <c r="C1942" s="66" t="s">
        <v>1498</v>
      </c>
      <c r="D1942" s="39" t="s">
        <v>13</v>
      </c>
      <c r="E1942" s="73">
        <v>2.64</v>
      </c>
      <c r="F1942" s="74">
        <f>789000*40%</f>
        <v>315600</v>
      </c>
      <c r="G1942" s="40">
        <f>E1942*F1942</f>
        <v>833184</v>
      </c>
      <c r="H1942" s="45" t="s">
        <v>2374</v>
      </c>
    </row>
    <row r="1943" spans="1:771 1026:1795 2050:2819 3074:3843 4098:4867 5122:5891 6146:6915 7170:7939 8194:8963 9218:9987 10242:11011 11266:12035 12290:13059 13314:14083 14338:15107 15362:16131" s="35" customFormat="1" ht="46.8" x14ac:dyDescent="0.3">
      <c r="A1943" s="36"/>
      <c r="B1943" s="72"/>
      <c r="C1943" s="66" t="s">
        <v>1499</v>
      </c>
      <c r="D1943" s="39" t="s">
        <v>13</v>
      </c>
      <c r="E1943" s="73">
        <v>2</v>
      </c>
      <c r="F1943" s="74">
        <f>540000*40%</f>
        <v>216000</v>
      </c>
      <c r="G1943" s="40">
        <f>E1943*F1943</f>
        <v>432000</v>
      </c>
      <c r="H1943" s="45" t="s">
        <v>2374</v>
      </c>
    </row>
    <row r="1944" spans="1:771 1026:1795 2050:2819 3074:3843 4098:4867 5122:5891 6146:6915 7170:7939 8194:8963 9218:9987 10242:11011 11266:12035 12290:13059 13314:14083 14338:15107 15362:16131" s="35" customFormat="1" ht="18.600000000000001" x14ac:dyDescent="0.3">
      <c r="A1944" s="36"/>
      <c r="B1944" s="72"/>
      <c r="C1944" s="66" t="s">
        <v>1500</v>
      </c>
      <c r="D1944" s="39" t="s">
        <v>13</v>
      </c>
      <c r="E1944" s="73">
        <v>4.67</v>
      </c>
      <c r="F1944" s="74">
        <v>1032000</v>
      </c>
      <c r="G1944" s="40">
        <f>E1944*F1944</f>
        <v>4819440</v>
      </c>
      <c r="H1944" s="45"/>
    </row>
    <row r="1945" spans="1:771 1026:1795 2050:2819 3074:3843 4098:4867 5122:5891 6146:6915 7170:7939 8194:8963 9218:9987 10242:11011 11266:12035 12290:13059 13314:14083 14338:15107 15362:16131" s="35" customFormat="1" ht="65.400000000000006" thickBot="1" x14ac:dyDescent="0.35">
      <c r="A1945" s="53"/>
      <c r="B1945" s="54"/>
      <c r="C1945" s="55" t="s">
        <v>2331</v>
      </c>
      <c r="D1945" s="56"/>
      <c r="E1945" s="5"/>
      <c r="F1945" s="6"/>
      <c r="G1945" s="57"/>
      <c r="H1945" s="58"/>
    </row>
    <row r="1946" spans="1:771 1026:1795 2050:2819 3074:3843 4098:4867 5122:5891 6146:6915 7170:7939 8194:8963 9218:9987 10242:11011 11266:12035 12290:13059 13314:14083 14338:15107 15362:16131" s="59" customFormat="1" ht="31.8" thickBot="1" x14ac:dyDescent="0.35">
      <c r="A1946" s="154"/>
      <c r="B1946" s="155" t="s">
        <v>26</v>
      </c>
      <c r="C1946" s="156"/>
      <c r="D1946" s="154"/>
      <c r="E1946" s="157"/>
      <c r="F1946" s="158"/>
      <c r="G1946" s="159">
        <f>SUM(G1937:G1945)/2</f>
        <v>181506424</v>
      </c>
      <c r="H1946" s="160"/>
      <c r="IX1946" s="35"/>
      <c r="IY1946" s="35"/>
      <c r="ST1946" s="35"/>
      <c r="SU1946" s="35"/>
      <c r="ACP1946" s="35"/>
      <c r="ACQ1946" s="35"/>
      <c r="AML1946" s="35"/>
      <c r="AMM1946" s="35"/>
      <c r="AWH1946" s="35"/>
      <c r="AWI1946" s="35"/>
      <c r="BGD1946" s="35"/>
      <c r="BGE1946" s="35"/>
      <c r="BPZ1946" s="35"/>
      <c r="BQA1946" s="35"/>
      <c r="BZV1946" s="35"/>
      <c r="BZW1946" s="35"/>
      <c r="CJR1946" s="35"/>
      <c r="CJS1946" s="35"/>
      <c r="CTN1946" s="35"/>
      <c r="CTO1946" s="35"/>
      <c r="DDJ1946" s="35"/>
      <c r="DDK1946" s="35"/>
      <c r="DNF1946" s="35"/>
      <c r="DNG1946" s="35"/>
      <c r="DXB1946" s="35"/>
      <c r="DXC1946" s="35"/>
      <c r="EGX1946" s="35"/>
      <c r="EGY1946" s="35"/>
      <c r="EQT1946" s="35"/>
      <c r="EQU1946" s="35"/>
      <c r="FAP1946" s="35"/>
      <c r="FAQ1946" s="35"/>
      <c r="FKL1946" s="35"/>
      <c r="FKM1946" s="35"/>
      <c r="FUH1946" s="35"/>
      <c r="FUI1946" s="35"/>
      <c r="GED1946" s="35"/>
      <c r="GEE1946" s="35"/>
      <c r="GNZ1946" s="35"/>
      <c r="GOA1946" s="35"/>
      <c r="GXV1946" s="35"/>
      <c r="GXW1946" s="35"/>
      <c r="HHR1946" s="35"/>
      <c r="HHS1946" s="35"/>
      <c r="HRN1946" s="35"/>
      <c r="HRO1946" s="35"/>
      <c r="IBJ1946" s="35"/>
      <c r="IBK1946" s="35"/>
      <c r="ILF1946" s="35"/>
      <c r="ILG1946" s="35"/>
      <c r="IVB1946" s="35"/>
      <c r="IVC1946" s="35"/>
      <c r="JEX1946" s="35"/>
      <c r="JEY1946" s="35"/>
      <c r="JOT1946" s="35"/>
      <c r="JOU1946" s="35"/>
      <c r="JYP1946" s="35"/>
      <c r="JYQ1946" s="35"/>
      <c r="KIL1946" s="35"/>
      <c r="KIM1946" s="35"/>
      <c r="KSH1946" s="35"/>
      <c r="KSI1946" s="35"/>
      <c r="LCD1946" s="35"/>
      <c r="LCE1946" s="35"/>
      <c r="LLZ1946" s="35"/>
      <c r="LMA1946" s="35"/>
      <c r="LVV1946" s="35"/>
      <c r="LVW1946" s="35"/>
      <c r="MFR1946" s="35"/>
      <c r="MFS1946" s="35"/>
      <c r="MPN1946" s="35"/>
      <c r="MPO1946" s="35"/>
      <c r="MZJ1946" s="35"/>
      <c r="MZK1946" s="35"/>
      <c r="NJF1946" s="35"/>
      <c r="NJG1946" s="35"/>
      <c r="NTB1946" s="35"/>
      <c r="NTC1946" s="35"/>
      <c r="OCX1946" s="35"/>
      <c r="OCY1946" s="35"/>
      <c r="OMT1946" s="35"/>
      <c r="OMU1946" s="35"/>
      <c r="OWP1946" s="35"/>
      <c r="OWQ1946" s="35"/>
      <c r="PGL1946" s="35"/>
      <c r="PGM1946" s="35"/>
      <c r="PQH1946" s="35"/>
      <c r="PQI1946" s="35"/>
      <c r="QAD1946" s="35"/>
      <c r="QAE1946" s="35"/>
      <c r="QJZ1946" s="35"/>
      <c r="QKA1946" s="35"/>
      <c r="QTV1946" s="35"/>
      <c r="QTW1946" s="35"/>
      <c r="RDR1946" s="35"/>
      <c r="RDS1946" s="35"/>
      <c r="RNN1946" s="35"/>
      <c r="RNO1946" s="35"/>
      <c r="RXJ1946" s="35"/>
      <c r="RXK1946" s="35"/>
      <c r="SHF1946" s="35"/>
      <c r="SHG1946" s="35"/>
      <c r="SRB1946" s="35"/>
      <c r="SRC1946" s="35"/>
      <c r="TAX1946" s="35"/>
      <c r="TAY1946" s="35"/>
      <c r="TKT1946" s="35"/>
      <c r="TKU1946" s="35"/>
      <c r="TUP1946" s="35"/>
      <c r="TUQ1946" s="35"/>
      <c r="UEL1946" s="35"/>
      <c r="UEM1946" s="35"/>
      <c r="UOH1946" s="35"/>
      <c r="UOI1946" s="35"/>
      <c r="UYD1946" s="35"/>
      <c r="UYE1946" s="35"/>
      <c r="VHZ1946" s="35"/>
      <c r="VIA1946" s="35"/>
      <c r="VRV1946" s="35"/>
      <c r="VRW1946" s="35"/>
      <c r="WBR1946" s="35"/>
      <c r="WBS1946" s="35"/>
      <c r="WLN1946" s="35"/>
      <c r="WLO1946" s="35"/>
      <c r="WVJ1946" s="35"/>
      <c r="WVK1946" s="35"/>
    </row>
    <row r="1947" spans="1:771 1026:1795 2050:2819 3074:3843 4098:4867 5122:5891 6146:6915 7170:7939 8194:8963 9218:9987 10242:11011 11266:12035 12290:13059 13314:14083 14338:15107 15362:16131" s="35" customFormat="1" ht="55.2" x14ac:dyDescent="0.3">
      <c r="A1947" s="28">
        <v>181</v>
      </c>
      <c r="B1947" s="29" t="s">
        <v>2237</v>
      </c>
      <c r="C1947" s="30" t="s">
        <v>2239</v>
      </c>
      <c r="D1947" s="31" t="s">
        <v>13</v>
      </c>
      <c r="E1947" s="32">
        <v>8.8000000000000007</v>
      </c>
      <c r="F1947" s="33"/>
      <c r="G1947" s="33"/>
      <c r="H1947" s="34" t="s">
        <v>1504</v>
      </c>
    </row>
    <row r="1948" spans="1:771 1026:1795 2050:2819 3074:3843 4098:4867 5122:5891 6146:6915 7170:7939 8194:8963 9218:9987 10242:11011 11266:12035 12290:13059 13314:14083 14338:15107 15362:16131" s="35" customFormat="1" x14ac:dyDescent="0.3">
      <c r="A1948" s="36"/>
      <c r="B1948" s="72" t="s">
        <v>1501</v>
      </c>
      <c r="C1948" s="38" t="s">
        <v>14</v>
      </c>
      <c r="D1948" s="39"/>
      <c r="E1948" s="44"/>
      <c r="F1948" s="40"/>
      <c r="G1948" s="41">
        <f>SUM(G1949)</f>
        <v>171415200</v>
      </c>
      <c r="H1948" s="42"/>
    </row>
    <row r="1949" spans="1:771 1026:1795 2050:2819 3074:3843 4098:4867 5122:5891 6146:6915 7170:7939 8194:8963 9218:9987 10242:11011 11266:12035 12290:13059 13314:14083 14338:15107 15362:16131" s="35" customFormat="1" ht="78" x14ac:dyDescent="0.3">
      <c r="A1949" s="36"/>
      <c r="B1949" s="72" t="s">
        <v>1502</v>
      </c>
      <c r="C1949" s="48" t="s">
        <v>38</v>
      </c>
      <c r="D1949" s="39" t="s">
        <v>13</v>
      </c>
      <c r="E1949" s="44">
        <v>8.8000000000000007</v>
      </c>
      <c r="F1949" s="161">
        <v>19479000</v>
      </c>
      <c r="G1949" s="40">
        <f>E1949*F1949</f>
        <v>171415200</v>
      </c>
      <c r="H1949" s="42"/>
    </row>
    <row r="1950" spans="1:771 1026:1795 2050:2819 3074:3843 4098:4867 5122:5891 6146:6915 7170:7939 8194:8963 9218:9987 10242:11011 11266:12035 12290:13059 13314:14083 14338:15107 15362:16131" s="35" customFormat="1" x14ac:dyDescent="0.3">
      <c r="A1950" s="36"/>
      <c r="B1950" s="72" t="s">
        <v>1503</v>
      </c>
      <c r="C1950" s="47" t="s">
        <v>35</v>
      </c>
      <c r="D1950" s="39"/>
      <c r="E1950" s="73"/>
      <c r="F1950" s="40"/>
      <c r="G1950" s="41">
        <f>SUM(G1951:G1955)</f>
        <v>25494610.000000004</v>
      </c>
      <c r="H1950" s="45"/>
    </row>
    <row r="1951" spans="1:771 1026:1795 2050:2819 3074:3843 4098:4867 5122:5891 6146:6915 7170:7939 8194:8963 9218:9987 10242:11011 11266:12035 12290:13059 13314:14083 14338:15107 15362:16131" s="35" customFormat="1" ht="110.4" x14ac:dyDescent="0.3">
      <c r="A1951" s="36"/>
      <c r="B1951" s="110" t="s">
        <v>2238</v>
      </c>
      <c r="C1951" s="101" t="s">
        <v>1505</v>
      </c>
      <c r="D1951" s="39" t="s">
        <v>13</v>
      </c>
      <c r="E1951" s="73">
        <f>1.1*4.4</f>
        <v>4.8400000000000007</v>
      </c>
      <c r="F1951" s="74">
        <v>4594000</v>
      </c>
      <c r="G1951" s="40">
        <f>E1951*F1951</f>
        <v>22234960.000000004</v>
      </c>
      <c r="H1951" s="20" t="s">
        <v>2375</v>
      </c>
    </row>
    <row r="1952" spans="1:771 1026:1795 2050:2819 3074:3843 4098:4867 5122:5891 6146:6915 7170:7939 8194:8963 9218:9987 10242:11011 11266:12035 12290:13059 13314:14083 14338:15107 15362:16131" s="35" customFormat="1" ht="46.8" x14ac:dyDescent="0.3">
      <c r="A1952" s="36"/>
      <c r="B1952" s="72"/>
      <c r="C1952" s="66" t="s">
        <v>1506</v>
      </c>
      <c r="D1952" s="39" t="s">
        <v>13</v>
      </c>
      <c r="E1952" s="73">
        <f>0.9*4.4</f>
        <v>3.9600000000000004</v>
      </c>
      <c r="F1952" s="74">
        <v>540000</v>
      </c>
      <c r="G1952" s="40">
        <f>E1952*F1952</f>
        <v>2138400</v>
      </c>
      <c r="H1952" s="20" t="s">
        <v>2375</v>
      </c>
    </row>
    <row r="1953" spans="1:771 1026:1795 2050:2819 3074:3843 4098:4867 5122:5891 6146:6915 7170:7939 8194:8963 9218:9987 10242:11011 11266:12035 12290:13059 13314:14083 14338:15107 15362:16131" s="35" customFormat="1" ht="46.8" x14ac:dyDescent="0.3">
      <c r="A1953" s="36"/>
      <c r="B1953" s="72"/>
      <c r="C1953" s="66" t="s">
        <v>1499</v>
      </c>
      <c r="D1953" s="39" t="s">
        <v>13</v>
      </c>
      <c r="E1953" s="73">
        <v>2</v>
      </c>
      <c r="F1953" s="74">
        <v>540000</v>
      </c>
      <c r="G1953" s="40">
        <f>E1953*F1953</f>
        <v>1080000</v>
      </c>
      <c r="H1953" s="20" t="s">
        <v>2375</v>
      </c>
    </row>
    <row r="1954" spans="1:771 1026:1795 2050:2819 3074:3843 4098:4867 5122:5891 6146:6915 7170:7939 8194:8963 9218:9987 10242:11011 11266:12035 12290:13059 13314:14083 14338:15107 15362:16131" s="35" customFormat="1" x14ac:dyDescent="0.3">
      <c r="A1954" s="36"/>
      <c r="B1954" s="72"/>
      <c r="C1954" s="66" t="s">
        <v>105</v>
      </c>
      <c r="D1954" s="39" t="s">
        <v>106</v>
      </c>
      <c r="E1954" s="73">
        <v>1</v>
      </c>
      <c r="F1954" s="74"/>
      <c r="G1954" s="40">
        <f>E1954*F1954</f>
        <v>0</v>
      </c>
      <c r="H1954" s="52" t="s">
        <v>2353</v>
      </c>
    </row>
    <row r="1955" spans="1:771 1026:1795 2050:2819 3074:3843 4098:4867 5122:5891 6146:6915 7170:7939 8194:8963 9218:9987 10242:11011 11266:12035 12290:13059 13314:14083 14338:15107 15362:16131" s="35" customFormat="1" x14ac:dyDescent="0.3">
      <c r="A1955" s="36"/>
      <c r="B1955" s="72"/>
      <c r="C1955" s="66" t="s">
        <v>1472</v>
      </c>
      <c r="D1955" s="39" t="s">
        <v>19</v>
      </c>
      <c r="E1955" s="73">
        <v>5</v>
      </c>
      <c r="F1955" s="74">
        <f>33000/4</f>
        <v>8250</v>
      </c>
      <c r="G1955" s="40">
        <f>E1955*F1955</f>
        <v>41250</v>
      </c>
      <c r="H1955" s="45"/>
    </row>
    <row r="1956" spans="1:771 1026:1795 2050:2819 3074:3843 4098:4867 5122:5891 6146:6915 7170:7939 8194:8963 9218:9987 10242:11011 11266:12035 12290:13059 13314:14083 14338:15107 15362:16131" s="109" customFormat="1" x14ac:dyDescent="0.3">
      <c r="A1956" s="36"/>
      <c r="B1956" s="64"/>
      <c r="C1956" s="51" t="s">
        <v>20</v>
      </c>
      <c r="D1956" s="36"/>
      <c r="E1956" s="107"/>
      <c r="F1956" s="41"/>
      <c r="G1956" s="41">
        <f>SUM(G1957:G1960)</f>
        <v>540000</v>
      </c>
      <c r="H1956" s="108"/>
    </row>
    <row r="1957" spans="1:771 1026:1795 2050:2819 3074:3843 4098:4867 5122:5891 6146:6915 7170:7939 8194:8963 9218:9987 10242:11011 11266:12035 12290:13059 13314:14083 14338:15107 15362:16131" s="77" customFormat="1" x14ac:dyDescent="0.3">
      <c r="A1957" s="36"/>
      <c r="B1957" s="37"/>
      <c r="C1957" s="75" t="s">
        <v>197</v>
      </c>
      <c r="D1957" s="76" t="s">
        <v>22</v>
      </c>
      <c r="E1957" s="73">
        <v>16</v>
      </c>
      <c r="F1957" s="74">
        <v>20000</v>
      </c>
      <c r="G1957" s="40">
        <f>E1957*F1957</f>
        <v>320000</v>
      </c>
      <c r="H1957" s="52"/>
    </row>
    <row r="1958" spans="1:771 1026:1795 2050:2819 3074:3843 4098:4867 5122:5891 6146:6915 7170:7939 8194:8963 9218:9987 10242:11011 11266:12035 12290:13059 13314:14083 14338:15107 15362:16131" s="77" customFormat="1" x14ac:dyDescent="0.3">
      <c r="A1958" s="36"/>
      <c r="B1958" s="37"/>
      <c r="C1958" s="75" t="s">
        <v>196</v>
      </c>
      <c r="D1958" s="76" t="s">
        <v>22</v>
      </c>
      <c r="E1958" s="73">
        <v>2</v>
      </c>
      <c r="F1958" s="74">
        <v>20000</v>
      </c>
      <c r="G1958" s="40">
        <f>E1958*F1958</f>
        <v>40000</v>
      </c>
      <c r="H1958" s="52"/>
    </row>
    <row r="1959" spans="1:771 1026:1795 2050:2819 3074:3843 4098:4867 5122:5891 6146:6915 7170:7939 8194:8963 9218:9987 10242:11011 11266:12035 12290:13059 13314:14083 14338:15107 15362:16131" s="77" customFormat="1" x14ac:dyDescent="0.3">
      <c r="A1959" s="36"/>
      <c r="B1959" s="37"/>
      <c r="C1959" s="75" t="s">
        <v>779</v>
      </c>
      <c r="D1959" s="76" t="s">
        <v>22</v>
      </c>
      <c r="E1959" s="73">
        <v>3</v>
      </c>
      <c r="F1959" s="74">
        <v>40000</v>
      </c>
      <c r="G1959" s="40">
        <f>E1959*F1959</f>
        <v>120000</v>
      </c>
      <c r="H1959" s="52"/>
    </row>
    <row r="1960" spans="1:771 1026:1795 2050:2819 3074:3843 4098:4867 5122:5891 6146:6915 7170:7939 8194:8963 9218:9987 10242:11011 11266:12035 12290:13059 13314:14083 14338:15107 15362:16131" s="77" customFormat="1" x14ac:dyDescent="0.3">
      <c r="A1960" s="36"/>
      <c r="B1960" s="37"/>
      <c r="C1960" s="75" t="s">
        <v>1507</v>
      </c>
      <c r="D1960" s="76" t="s">
        <v>21</v>
      </c>
      <c r="E1960" s="73">
        <v>1</v>
      </c>
      <c r="F1960" s="74">
        <v>60000</v>
      </c>
      <c r="G1960" s="40">
        <f>E1960*F1960</f>
        <v>60000</v>
      </c>
      <c r="H1960" s="52"/>
    </row>
    <row r="1961" spans="1:771 1026:1795 2050:2819 3074:3843 4098:4867 5122:5891 6146:6915 7170:7939 8194:8963 9218:9987 10242:11011 11266:12035 12290:13059 13314:14083 14338:15107 15362:16131" s="35" customFormat="1" ht="65.400000000000006" thickBot="1" x14ac:dyDescent="0.35">
      <c r="A1961" s="53"/>
      <c r="B1961" s="54"/>
      <c r="C1961" s="55" t="s">
        <v>2331</v>
      </c>
      <c r="D1961" s="56"/>
      <c r="E1961" s="5"/>
      <c r="F1961" s="6"/>
      <c r="G1961" s="57"/>
      <c r="H1961" s="58"/>
    </row>
    <row r="1962" spans="1:771 1026:1795 2050:2819 3074:3843 4098:4867 5122:5891 6146:6915 7170:7939 8194:8963 9218:9987 10242:11011 11266:12035 12290:13059 13314:14083 14338:15107 15362:16131" s="59" customFormat="1" ht="31.8" thickBot="1" x14ac:dyDescent="0.35">
      <c r="A1962" s="154"/>
      <c r="B1962" s="155" t="s">
        <v>26</v>
      </c>
      <c r="C1962" s="156"/>
      <c r="D1962" s="154"/>
      <c r="E1962" s="157"/>
      <c r="F1962" s="158"/>
      <c r="G1962" s="159">
        <f>SUM(G1947:G1961)/2</f>
        <v>197449810</v>
      </c>
      <c r="H1962" s="160"/>
      <c r="IX1962" s="35"/>
      <c r="IY1962" s="35"/>
      <c r="ST1962" s="35"/>
      <c r="SU1962" s="35"/>
      <c r="ACP1962" s="35"/>
      <c r="ACQ1962" s="35"/>
      <c r="AML1962" s="35"/>
      <c r="AMM1962" s="35"/>
      <c r="AWH1962" s="35"/>
      <c r="AWI1962" s="35"/>
      <c r="BGD1962" s="35"/>
      <c r="BGE1962" s="35"/>
      <c r="BPZ1962" s="35"/>
      <c r="BQA1962" s="35"/>
      <c r="BZV1962" s="35"/>
      <c r="BZW1962" s="35"/>
      <c r="CJR1962" s="35"/>
      <c r="CJS1962" s="35"/>
      <c r="CTN1962" s="35"/>
      <c r="CTO1962" s="35"/>
      <c r="DDJ1962" s="35"/>
      <c r="DDK1962" s="35"/>
      <c r="DNF1962" s="35"/>
      <c r="DNG1962" s="35"/>
      <c r="DXB1962" s="35"/>
      <c r="DXC1962" s="35"/>
      <c r="EGX1962" s="35"/>
      <c r="EGY1962" s="35"/>
      <c r="EQT1962" s="35"/>
      <c r="EQU1962" s="35"/>
      <c r="FAP1962" s="35"/>
      <c r="FAQ1962" s="35"/>
      <c r="FKL1962" s="35"/>
      <c r="FKM1962" s="35"/>
      <c r="FUH1962" s="35"/>
      <c r="FUI1962" s="35"/>
      <c r="GED1962" s="35"/>
      <c r="GEE1962" s="35"/>
      <c r="GNZ1962" s="35"/>
      <c r="GOA1962" s="35"/>
      <c r="GXV1962" s="35"/>
      <c r="GXW1962" s="35"/>
      <c r="HHR1962" s="35"/>
      <c r="HHS1962" s="35"/>
      <c r="HRN1962" s="35"/>
      <c r="HRO1962" s="35"/>
      <c r="IBJ1962" s="35"/>
      <c r="IBK1962" s="35"/>
      <c r="ILF1962" s="35"/>
      <c r="ILG1962" s="35"/>
      <c r="IVB1962" s="35"/>
      <c r="IVC1962" s="35"/>
      <c r="JEX1962" s="35"/>
      <c r="JEY1962" s="35"/>
      <c r="JOT1962" s="35"/>
      <c r="JOU1962" s="35"/>
      <c r="JYP1962" s="35"/>
      <c r="JYQ1962" s="35"/>
      <c r="KIL1962" s="35"/>
      <c r="KIM1962" s="35"/>
      <c r="KSH1962" s="35"/>
      <c r="KSI1962" s="35"/>
      <c r="LCD1962" s="35"/>
      <c r="LCE1962" s="35"/>
      <c r="LLZ1962" s="35"/>
      <c r="LMA1962" s="35"/>
      <c r="LVV1962" s="35"/>
      <c r="LVW1962" s="35"/>
      <c r="MFR1962" s="35"/>
      <c r="MFS1962" s="35"/>
      <c r="MPN1962" s="35"/>
      <c r="MPO1962" s="35"/>
      <c r="MZJ1962" s="35"/>
      <c r="MZK1962" s="35"/>
      <c r="NJF1962" s="35"/>
      <c r="NJG1962" s="35"/>
      <c r="NTB1962" s="35"/>
      <c r="NTC1962" s="35"/>
      <c r="OCX1962" s="35"/>
      <c r="OCY1962" s="35"/>
      <c r="OMT1962" s="35"/>
      <c r="OMU1962" s="35"/>
      <c r="OWP1962" s="35"/>
      <c r="OWQ1962" s="35"/>
      <c r="PGL1962" s="35"/>
      <c r="PGM1962" s="35"/>
      <c r="PQH1962" s="35"/>
      <c r="PQI1962" s="35"/>
      <c r="QAD1962" s="35"/>
      <c r="QAE1962" s="35"/>
      <c r="QJZ1962" s="35"/>
      <c r="QKA1962" s="35"/>
      <c r="QTV1962" s="35"/>
      <c r="QTW1962" s="35"/>
      <c r="RDR1962" s="35"/>
      <c r="RDS1962" s="35"/>
      <c r="RNN1962" s="35"/>
      <c r="RNO1962" s="35"/>
      <c r="RXJ1962" s="35"/>
      <c r="RXK1962" s="35"/>
      <c r="SHF1962" s="35"/>
      <c r="SHG1962" s="35"/>
      <c r="SRB1962" s="35"/>
      <c r="SRC1962" s="35"/>
      <c r="TAX1962" s="35"/>
      <c r="TAY1962" s="35"/>
      <c r="TKT1962" s="35"/>
      <c r="TKU1962" s="35"/>
      <c r="TUP1962" s="35"/>
      <c r="TUQ1962" s="35"/>
      <c r="UEL1962" s="35"/>
      <c r="UEM1962" s="35"/>
      <c r="UOH1962" s="35"/>
      <c r="UOI1962" s="35"/>
      <c r="UYD1962" s="35"/>
      <c r="UYE1962" s="35"/>
      <c r="VHZ1962" s="35"/>
      <c r="VIA1962" s="35"/>
      <c r="VRV1962" s="35"/>
      <c r="VRW1962" s="35"/>
      <c r="WBR1962" s="35"/>
      <c r="WBS1962" s="35"/>
      <c r="WLN1962" s="35"/>
      <c r="WLO1962" s="35"/>
      <c r="WVJ1962" s="35"/>
      <c r="WVK1962" s="35"/>
    </row>
    <row r="1963" spans="1:771 1026:1795 2050:2819 3074:3843 4098:4867 5122:5891 6146:6915 7170:7939 8194:8963 9218:9987 10242:11011 11266:12035 12290:13059 13314:14083 14338:15107 15362:16131" s="35" customFormat="1" ht="55.2" x14ac:dyDescent="0.3">
      <c r="A1963" s="28">
        <v>182</v>
      </c>
      <c r="B1963" s="29" t="s">
        <v>1508</v>
      </c>
      <c r="C1963" s="30" t="s">
        <v>1512</v>
      </c>
      <c r="D1963" s="31" t="s">
        <v>13</v>
      </c>
      <c r="E1963" s="32">
        <v>7.5</v>
      </c>
      <c r="F1963" s="33"/>
      <c r="G1963" s="33"/>
      <c r="H1963" s="34" t="s">
        <v>1513</v>
      </c>
    </row>
    <row r="1964" spans="1:771 1026:1795 2050:2819 3074:3843 4098:4867 5122:5891 6146:6915 7170:7939 8194:8963 9218:9987 10242:11011 11266:12035 12290:13059 13314:14083 14338:15107 15362:16131" s="35" customFormat="1" x14ac:dyDescent="0.3">
      <c r="A1964" s="36"/>
      <c r="B1964" s="72" t="s">
        <v>1509</v>
      </c>
      <c r="C1964" s="38" t="s">
        <v>14</v>
      </c>
      <c r="D1964" s="39"/>
      <c r="E1964" s="44"/>
      <c r="F1964" s="40"/>
      <c r="G1964" s="41">
        <f>SUM(G1965)</f>
        <v>78030000</v>
      </c>
      <c r="H1964" s="42"/>
    </row>
    <row r="1965" spans="1:771 1026:1795 2050:2819 3074:3843 4098:4867 5122:5891 6146:6915 7170:7939 8194:8963 9218:9987 10242:11011 11266:12035 12290:13059 13314:14083 14338:15107 15362:16131" s="35" customFormat="1" ht="62.4" x14ac:dyDescent="0.3">
      <c r="A1965" s="36"/>
      <c r="B1965" s="72" t="s">
        <v>1510</v>
      </c>
      <c r="C1965" s="43" t="s">
        <v>55</v>
      </c>
      <c r="D1965" s="39" t="s">
        <v>13</v>
      </c>
      <c r="E1965" s="44">
        <v>7.5</v>
      </c>
      <c r="F1965" s="153">
        <v>10404000</v>
      </c>
      <c r="G1965" s="40">
        <f>E1965*F1965</f>
        <v>78030000</v>
      </c>
      <c r="H1965" s="42"/>
    </row>
    <row r="1966" spans="1:771 1026:1795 2050:2819 3074:3843 4098:4867 5122:5891 6146:6915 7170:7939 8194:8963 9218:9987 10242:11011 11266:12035 12290:13059 13314:14083 14338:15107 15362:16131" s="35" customFormat="1" x14ac:dyDescent="0.3">
      <c r="A1966" s="36"/>
      <c r="B1966" s="72" t="s">
        <v>1511</v>
      </c>
      <c r="C1966" s="47" t="s">
        <v>35</v>
      </c>
      <c r="D1966" s="39"/>
      <c r="E1966" s="73"/>
      <c r="F1966" s="40"/>
      <c r="G1966" s="41">
        <f>SUM(G1967:G1969)</f>
        <v>41250</v>
      </c>
      <c r="H1966" s="45"/>
    </row>
    <row r="1967" spans="1:771 1026:1795 2050:2819 3074:3843 4098:4867 5122:5891 6146:6915 7170:7939 8194:8963 9218:9987 10242:11011 11266:12035 12290:13059 13314:14083 14338:15107 15362:16131" s="35" customFormat="1" ht="82.8" x14ac:dyDescent="0.3">
      <c r="A1967" s="36"/>
      <c r="B1967" s="72"/>
      <c r="C1967" s="101" t="s">
        <v>1514</v>
      </c>
      <c r="D1967" s="39" t="s">
        <v>13</v>
      </c>
      <c r="E1967" s="73">
        <v>6.8780000000000001</v>
      </c>
      <c r="F1967" s="74"/>
      <c r="G1967" s="40">
        <f>E1967*F1967</f>
        <v>0</v>
      </c>
      <c r="H1967" s="45" t="s">
        <v>2532</v>
      </c>
    </row>
    <row r="1968" spans="1:771 1026:1795 2050:2819 3074:3843 4098:4867 5122:5891 6146:6915 7170:7939 8194:8963 9218:9987 10242:11011 11266:12035 12290:13059 13314:14083 14338:15107 15362:16131" s="35" customFormat="1" x14ac:dyDescent="0.3">
      <c r="A1968" s="36"/>
      <c r="B1968" s="72"/>
      <c r="C1968" s="66" t="s">
        <v>105</v>
      </c>
      <c r="D1968" s="39" t="s">
        <v>106</v>
      </c>
      <c r="E1968" s="73">
        <v>1</v>
      </c>
      <c r="F1968" s="74"/>
      <c r="G1968" s="40">
        <f>E1968*F1968</f>
        <v>0</v>
      </c>
      <c r="H1968" s="52" t="s">
        <v>2353</v>
      </c>
    </row>
    <row r="1969" spans="1:771 1026:1795 2050:2819 3074:3843 4098:4867 5122:5891 6146:6915 7170:7939 8194:8963 9218:9987 10242:11011 11266:12035 12290:13059 13314:14083 14338:15107 15362:16131" s="35" customFormat="1" x14ac:dyDescent="0.3">
      <c r="A1969" s="36"/>
      <c r="B1969" s="72"/>
      <c r="C1969" s="66" t="s">
        <v>1472</v>
      </c>
      <c r="D1969" s="39" t="s">
        <v>19</v>
      </c>
      <c r="E1969" s="73">
        <v>5</v>
      </c>
      <c r="F1969" s="74">
        <f>33000/4</f>
        <v>8250</v>
      </c>
      <c r="G1969" s="40">
        <f>E1969*F1969</f>
        <v>41250</v>
      </c>
      <c r="H1969" s="45"/>
    </row>
    <row r="1970" spans="1:771 1026:1795 2050:2819 3074:3843 4098:4867 5122:5891 6146:6915 7170:7939 8194:8963 9218:9987 10242:11011 11266:12035 12290:13059 13314:14083 14338:15107 15362:16131" s="35" customFormat="1" x14ac:dyDescent="0.3">
      <c r="A1970" s="36"/>
      <c r="B1970" s="46"/>
      <c r="C1970" s="51" t="s">
        <v>23</v>
      </c>
      <c r="D1970" s="39"/>
      <c r="E1970" s="1"/>
      <c r="F1970" s="2"/>
      <c r="G1970" s="41">
        <f>SUM(G1971)</f>
        <v>6120000</v>
      </c>
      <c r="H1970" s="52"/>
    </row>
    <row r="1971" spans="1:771 1026:1795 2050:2819 3074:3843 4098:4867 5122:5891 6146:6915 7170:7939 8194:8963 9218:9987 10242:11011 11266:12035 12290:13059 13314:14083 14338:15107 15362:16131" s="35" customFormat="1" x14ac:dyDescent="0.3">
      <c r="A1971" s="36"/>
      <c r="B1971" s="46"/>
      <c r="C1971" s="50" t="s">
        <v>24</v>
      </c>
      <c r="D1971" s="39" t="s">
        <v>25</v>
      </c>
      <c r="E1971" s="1">
        <f>2*30*6</f>
        <v>360</v>
      </c>
      <c r="F1971" s="2">
        <v>17000</v>
      </c>
      <c r="G1971" s="40">
        <f>E1971*F1971</f>
        <v>6120000</v>
      </c>
      <c r="H1971" s="42"/>
    </row>
    <row r="1972" spans="1:771 1026:1795 2050:2819 3074:3843 4098:4867 5122:5891 6146:6915 7170:7939 8194:8963 9218:9987 10242:11011 11266:12035 12290:13059 13314:14083 14338:15107 15362:16131" s="35" customFormat="1" ht="65.400000000000006" thickBot="1" x14ac:dyDescent="0.35">
      <c r="A1972" s="53"/>
      <c r="B1972" s="54"/>
      <c r="C1972" s="55" t="s">
        <v>2331</v>
      </c>
      <c r="D1972" s="56"/>
      <c r="E1972" s="5"/>
      <c r="F1972" s="6"/>
      <c r="G1972" s="57"/>
      <c r="H1972" s="58"/>
    </row>
    <row r="1973" spans="1:771 1026:1795 2050:2819 3074:3843 4098:4867 5122:5891 6146:6915 7170:7939 8194:8963 9218:9987 10242:11011 11266:12035 12290:13059 13314:14083 14338:15107 15362:16131" s="59" customFormat="1" ht="31.8" thickBot="1" x14ac:dyDescent="0.35">
      <c r="A1973" s="154"/>
      <c r="B1973" s="155" t="s">
        <v>26</v>
      </c>
      <c r="C1973" s="156"/>
      <c r="D1973" s="154"/>
      <c r="E1973" s="157"/>
      <c r="F1973" s="158"/>
      <c r="G1973" s="159">
        <f>SUM(G1963:G1972)/2</f>
        <v>84191250</v>
      </c>
      <c r="H1973" s="160"/>
      <c r="IX1973" s="35"/>
      <c r="IY1973" s="35"/>
      <c r="ST1973" s="35"/>
      <c r="SU1973" s="35"/>
      <c r="ACP1973" s="35"/>
      <c r="ACQ1973" s="35"/>
      <c r="AML1973" s="35"/>
      <c r="AMM1973" s="35"/>
      <c r="AWH1973" s="35"/>
      <c r="AWI1973" s="35"/>
      <c r="BGD1973" s="35"/>
      <c r="BGE1973" s="35"/>
      <c r="BPZ1973" s="35"/>
      <c r="BQA1973" s="35"/>
      <c r="BZV1973" s="35"/>
      <c r="BZW1973" s="35"/>
      <c r="CJR1973" s="35"/>
      <c r="CJS1973" s="35"/>
      <c r="CTN1973" s="35"/>
      <c r="CTO1973" s="35"/>
      <c r="DDJ1973" s="35"/>
      <c r="DDK1973" s="35"/>
      <c r="DNF1973" s="35"/>
      <c r="DNG1973" s="35"/>
      <c r="DXB1973" s="35"/>
      <c r="DXC1973" s="35"/>
      <c r="EGX1973" s="35"/>
      <c r="EGY1973" s="35"/>
      <c r="EQT1973" s="35"/>
      <c r="EQU1973" s="35"/>
      <c r="FAP1973" s="35"/>
      <c r="FAQ1973" s="35"/>
      <c r="FKL1973" s="35"/>
      <c r="FKM1973" s="35"/>
      <c r="FUH1973" s="35"/>
      <c r="FUI1973" s="35"/>
      <c r="GED1973" s="35"/>
      <c r="GEE1973" s="35"/>
      <c r="GNZ1973" s="35"/>
      <c r="GOA1973" s="35"/>
      <c r="GXV1973" s="35"/>
      <c r="GXW1973" s="35"/>
      <c r="HHR1973" s="35"/>
      <c r="HHS1973" s="35"/>
      <c r="HRN1973" s="35"/>
      <c r="HRO1973" s="35"/>
      <c r="IBJ1973" s="35"/>
      <c r="IBK1973" s="35"/>
      <c r="ILF1973" s="35"/>
      <c r="ILG1973" s="35"/>
      <c r="IVB1973" s="35"/>
      <c r="IVC1973" s="35"/>
      <c r="JEX1973" s="35"/>
      <c r="JEY1973" s="35"/>
      <c r="JOT1973" s="35"/>
      <c r="JOU1973" s="35"/>
      <c r="JYP1973" s="35"/>
      <c r="JYQ1973" s="35"/>
      <c r="KIL1973" s="35"/>
      <c r="KIM1973" s="35"/>
      <c r="KSH1973" s="35"/>
      <c r="KSI1973" s="35"/>
      <c r="LCD1973" s="35"/>
      <c r="LCE1973" s="35"/>
      <c r="LLZ1973" s="35"/>
      <c r="LMA1973" s="35"/>
      <c r="LVV1973" s="35"/>
      <c r="LVW1973" s="35"/>
      <c r="MFR1973" s="35"/>
      <c r="MFS1973" s="35"/>
      <c r="MPN1973" s="35"/>
      <c r="MPO1973" s="35"/>
      <c r="MZJ1973" s="35"/>
      <c r="MZK1973" s="35"/>
      <c r="NJF1973" s="35"/>
      <c r="NJG1973" s="35"/>
      <c r="NTB1973" s="35"/>
      <c r="NTC1973" s="35"/>
      <c r="OCX1973" s="35"/>
      <c r="OCY1973" s="35"/>
      <c r="OMT1973" s="35"/>
      <c r="OMU1973" s="35"/>
      <c r="OWP1973" s="35"/>
      <c r="OWQ1973" s="35"/>
      <c r="PGL1973" s="35"/>
      <c r="PGM1973" s="35"/>
      <c r="PQH1973" s="35"/>
      <c r="PQI1973" s="35"/>
      <c r="QAD1973" s="35"/>
      <c r="QAE1973" s="35"/>
      <c r="QJZ1973" s="35"/>
      <c r="QKA1973" s="35"/>
      <c r="QTV1973" s="35"/>
      <c r="QTW1973" s="35"/>
      <c r="RDR1973" s="35"/>
      <c r="RDS1973" s="35"/>
      <c r="RNN1973" s="35"/>
      <c r="RNO1973" s="35"/>
      <c r="RXJ1973" s="35"/>
      <c r="RXK1973" s="35"/>
      <c r="SHF1973" s="35"/>
      <c r="SHG1973" s="35"/>
      <c r="SRB1973" s="35"/>
      <c r="SRC1973" s="35"/>
      <c r="TAX1973" s="35"/>
      <c r="TAY1973" s="35"/>
      <c r="TKT1973" s="35"/>
      <c r="TKU1973" s="35"/>
      <c r="TUP1973" s="35"/>
      <c r="TUQ1973" s="35"/>
      <c r="UEL1973" s="35"/>
      <c r="UEM1973" s="35"/>
      <c r="UOH1973" s="35"/>
      <c r="UOI1973" s="35"/>
      <c r="UYD1973" s="35"/>
      <c r="UYE1973" s="35"/>
      <c r="VHZ1973" s="35"/>
      <c r="VIA1973" s="35"/>
      <c r="VRV1973" s="35"/>
      <c r="VRW1973" s="35"/>
      <c r="WBR1973" s="35"/>
      <c r="WBS1973" s="35"/>
      <c r="WLN1973" s="35"/>
      <c r="WLO1973" s="35"/>
      <c r="WVJ1973" s="35"/>
      <c r="WVK1973" s="35"/>
    </row>
    <row r="1974" spans="1:771 1026:1795 2050:2819 3074:3843 4098:4867 5122:5891 6146:6915 7170:7939 8194:8963 9218:9987 10242:11011 11266:12035 12290:13059 13314:14083 14338:15107 15362:16131" s="35" customFormat="1" ht="55.2" x14ac:dyDescent="0.3">
      <c r="A1974" s="28">
        <v>183</v>
      </c>
      <c r="B1974" s="29" t="s">
        <v>1515</v>
      </c>
      <c r="C1974" s="30" t="s">
        <v>1519</v>
      </c>
      <c r="D1974" s="31" t="s">
        <v>13</v>
      </c>
      <c r="E1974" s="32">
        <v>10.1</v>
      </c>
      <c r="F1974" s="33"/>
      <c r="G1974" s="33"/>
      <c r="H1974" s="34" t="s">
        <v>1520</v>
      </c>
    </row>
    <row r="1975" spans="1:771 1026:1795 2050:2819 3074:3843 4098:4867 5122:5891 6146:6915 7170:7939 8194:8963 9218:9987 10242:11011 11266:12035 12290:13059 13314:14083 14338:15107 15362:16131" s="35" customFormat="1" x14ac:dyDescent="0.3">
      <c r="A1975" s="36"/>
      <c r="B1975" s="72" t="s">
        <v>1516</v>
      </c>
      <c r="C1975" s="38" t="s">
        <v>14</v>
      </c>
      <c r="D1975" s="39"/>
      <c r="E1975" s="44"/>
      <c r="F1975" s="40"/>
      <c r="G1975" s="41">
        <f>SUM(G1976)</f>
        <v>105080400</v>
      </c>
      <c r="H1975" s="42"/>
    </row>
    <row r="1976" spans="1:771 1026:1795 2050:2819 3074:3843 4098:4867 5122:5891 6146:6915 7170:7939 8194:8963 9218:9987 10242:11011 11266:12035 12290:13059 13314:14083 14338:15107 15362:16131" s="35" customFormat="1" ht="78" x14ac:dyDescent="0.3">
      <c r="A1976" s="36"/>
      <c r="B1976" s="72" t="s">
        <v>1517</v>
      </c>
      <c r="C1976" s="43" t="s">
        <v>55</v>
      </c>
      <c r="D1976" s="39" t="s">
        <v>13</v>
      </c>
      <c r="E1976" s="44">
        <v>10.1</v>
      </c>
      <c r="F1976" s="153">
        <v>10404000</v>
      </c>
      <c r="G1976" s="40">
        <f>E1976*F1976</f>
        <v>105080400</v>
      </c>
      <c r="H1976" s="42"/>
    </row>
    <row r="1977" spans="1:771 1026:1795 2050:2819 3074:3843 4098:4867 5122:5891 6146:6915 7170:7939 8194:8963 9218:9987 10242:11011 11266:12035 12290:13059 13314:14083 14338:15107 15362:16131" s="35" customFormat="1" x14ac:dyDescent="0.3">
      <c r="A1977" s="36"/>
      <c r="B1977" s="72" t="s">
        <v>1518</v>
      </c>
      <c r="C1977" s="47" t="s">
        <v>35</v>
      </c>
      <c r="D1977" s="39"/>
      <c r="E1977" s="73"/>
      <c r="F1977" s="40"/>
      <c r="G1977" s="41">
        <f>SUM(G1978:G1979)</f>
        <v>0</v>
      </c>
      <c r="H1977" s="45"/>
    </row>
    <row r="1978" spans="1:771 1026:1795 2050:2819 3074:3843 4098:4867 5122:5891 6146:6915 7170:7939 8194:8963 9218:9987 10242:11011 11266:12035 12290:13059 13314:14083 14338:15107 15362:16131" s="35" customFormat="1" ht="82.8" x14ac:dyDescent="0.3">
      <c r="A1978" s="36"/>
      <c r="B1978" s="72"/>
      <c r="C1978" s="101" t="s">
        <v>1521</v>
      </c>
      <c r="D1978" s="39" t="s">
        <v>13</v>
      </c>
      <c r="E1978" s="73">
        <v>2.16</v>
      </c>
      <c r="F1978" s="74"/>
      <c r="G1978" s="40">
        <f>E1978*F1978</f>
        <v>0</v>
      </c>
      <c r="H1978" s="45" t="s">
        <v>2533</v>
      </c>
    </row>
    <row r="1979" spans="1:771 1026:1795 2050:2819 3074:3843 4098:4867 5122:5891 6146:6915 7170:7939 8194:8963 9218:9987 10242:11011 11266:12035 12290:13059 13314:14083 14338:15107 15362:16131" s="35" customFormat="1" ht="46.8" x14ac:dyDescent="0.3">
      <c r="A1979" s="36"/>
      <c r="B1979" s="72"/>
      <c r="C1979" s="66" t="s">
        <v>1522</v>
      </c>
      <c r="D1979" s="39" t="s">
        <v>13</v>
      </c>
      <c r="E1979" s="73">
        <v>6.12</v>
      </c>
      <c r="F1979" s="74"/>
      <c r="G1979" s="40">
        <f>E1979*F1979</f>
        <v>0</v>
      </c>
      <c r="H1979" s="45" t="s">
        <v>179</v>
      </c>
    </row>
    <row r="1980" spans="1:771 1026:1795 2050:2819 3074:3843 4098:4867 5122:5891 6146:6915 7170:7939 8194:8963 9218:9987 10242:11011 11266:12035 12290:13059 13314:14083 14338:15107 15362:16131" s="35" customFormat="1" x14ac:dyDescent="0.3">
      <c r="A1980" s="36"/>
      <c r="B1980" s="46"/>
      <c r="C1980" s="51" t="s">
        <v>23</v>
      </c>
      <c r="D1980" s="39"/>
      <c r="E1980" s="1"/>
      <c r="F1980" s="2"/>
      <c r="G1980" s="41">
        <f>SUM(G1981)</f>
        <v>6120000</v>
      </c>
      <c r="H1980" s="52"/>
    </row>
    <row r="1981" spans="1:771 1026:1795 2050:2819 3074:3843 4098:4867 5122:5891 6146:6915 7170:7939 8194:8963 9218:9987 10242:11011 11266:12035 12290:13059 13314:14083 14338:15107 15362:16131" s="35" customFormat="1" x14ac:dyDescent="0.3">
      <c r="A1981" s="36"/>
      <c r="B1981" s="46"/>
      <c r="C1981" s="50" t="s">
        <v>24</v>
      </c>
      <c r="D1981" s="39" t="s">
        <v>25</v>
      </c>
      <c r="E1981" s="1">
        <f>2*30*6</f>
        <v>360</v>
      </c>
      <c r="F1981" s="2">
        <v>17000</v>
      </c>
      <c r="G1981" s="40">
        <f>E1981*F1981</f>
        <v>6120000</v>
      </c>
      <c r="H1981" s="42"/>
    </row>
    <row r="1982" spans="1:771 1026:1795 2050:2819 3074:3843 4098:4867 5122:5891 6146:6915 7170:7939 8194:8963 9218:9987 10242:11011 11266:12035 12290:13059 13314:14083 14338:15107 15362:16131" s="35" customFormat="1" ht="65.400000000000006" thickBot="1" x14ac:dyDescent="0.35">
      <c r="A1982" s="53"/>
      <c r="B1982" s="54"/>
      <c r="C1982" s="55" t="s">
        <v>2331</v>
      </c>
      <c r="D1982" s="56"/>
      <c r="E1982" s="5"/>
      <c r="F1982" s="6"/>
      <c r="G1982" s="57"/>
      <c r="H1982" s="58"/>
    </row>
    <row r="1983" spans="1:771 1026:1795 2050:2819 3074:3843 4098:4867 5122:5891 6146:6915 7170:7939 8194:8963 9218:9987 10242:11011 11266:12035 12290:13059 13314:14083 14338:15107 15362:16131" s="59" customFormat="1" ht="31.8" thickBot="1" x14ac:dyDescent="0.35">
      <c r="A1983" s="154"/>
      <c r="B1983" s="155" t="s">
        <v>26</v>
      </c>
      <c r="C1983" s="156"/>
      <c r="D1983" s="154"/>
      <c r="E1983" s="157"/>
      <c r="F1983" s="158"/>
      <c r="G1983" s="159">
        <f>SUM(G1974:G1982)/2</f>
        <v>111200400</v>
      </c>
      <c r="H1983" s="160"/>
      <c r="IX1983" s="35"/>
      <c r="IY1983" s="35"/>
      <c r="ST1983" s="35"/>
      <c r="SU1983" s="35"/>
      <c r="ACP1983" s="35"/>
      <c r="ACQ1983" s="35"/>
      <c r="AML1983" s="35"/>
      <c r="AMM1983" s="35"/>
      <c r="AWH1983" s="35"/>
      <c r="AWI1983" s="35"/>
      <c r="BGD1983" s="35"/>
      <c r="BGE1983" s="35"/>
      <c r="BPZ1983" s="35"/>
      <c r="BQA1983" s="35"/>
      <c r="BZV1983" s="35"/>
      <c r="BZW1983" s="35"/>
      <c r="CJR1983" s="35"/>
      <c r="CJS1983" s="35"/>
      <c r="CTN1983" s="35"/>
      <c r="CTO1983" s="35"/>
      <c r="DDJ1983" s="35"/>
      <c r="DDK1983" s="35"/>
      <c r="DNF1983" s="35"/>
      <c r="DNG1983" s="35"/>
      <c r="DXB1983" s="35"/>
      <c r="DXC1983" s="35"/>
      <c r="EGX1983" s="35"/>
      <c r="EGY1983" s="35"/>
      <c r="EQT1983" s="35"/>
      <c r="EQU1983" s="35"/>
      <c r="FAP1983" s="35"/>
      <c r="FAQ1983" s="35"/>
      <c r="FKL1983" s="35"/>
      <c r="FKM1983" s="35"/>
      <c r="FUH1983" s="35"/>
      <c r="FUI1983" s="35"/>
      <c r="GED1983" s="35"/>
      <c r="GEE1983" s="35"/>
      <c r="GNZ1983" s="35"/>
      <c r="GOA1983" s="35"/>
      <c r="GXV1983" s="35"/>
      <c r="GXW1983" s="35"/>
      <c r="HHR1983" s="35"/>
      <c r="HHS1983" s="35"/>
      <c r="HRN1983" s="35"/>
      <c r="HRO1983" s="35"/>
      <c r="IBJ1983" s="35"/>
      <c r="IBK1983" s="35"/>
      <c r="ILF1983" s="35"/>
      <c r="ILG1983" s="35"/>
      <c r="IVB1983" s="35"/>
      <c r="IVC1983" s="35"/>
      <c r="JEX1983" s="35"/>
      <c r="JEY1983" s="35"/>
      <c r="JOT1983" s="35"/>
      <c r="JOU1983" s="35"/>
      <c r="JYP1983" s="35"/>
      <c r="JYQ1983" s="35"/>
      <c r="KIL1983" s="35"/>
      <c r="KIM1983" s="35"/>
      <c r="KSH1983" s="35"/>
      <c r="KSI1983" s="35"/>
      <c r="LCD1983" s="35"/>
      <c r="LCE1983" s="35"/>
      <c r="LLZ1983" s="35"/>
      <c r="LMA1983" s="35"/>
      <c r="LVV1983" s="35"/>
      <c r="LVW1983" s="35"/>
      <c r="MFR1983" s="35"/>
      <c r="MFS1983" s="35"/>
      <c r="MPN1983" s="35"/>
      <c r="MPO1983" s="35"/>
      <c r="MZJ1983" s="35"/>
      <c r="MZK1983" s="35"/>
      <c r="NJF1983" s="35"/>
      <c r="NJG1983" s="35"/>
      <c r="NTB1983" s="35"/>
      <c r="NTC1983" s="35"/>
      <c r="OCX1983" s="35"/>
      <c r="OCY1983" s="35"/>
      <c r="OMT1983" s="35"/>
      <c r="OMU1983" s="35"/>
      <c r="OWP1983" s="35"/>
      <c r="OWQ1983" s="35"/>
      <c r="PGL1983" s="35"/>
      <c r="PGM1983" s="35"/>
      <c r="PQH1983" s="35"/>
      <c r="PQI1983" s="35"/>
      <c r="QAD1983" s="35"/>
      <c r="QAE1983" s="35"/>
      <c r="QJZ1983" s="35"/>
      <c r="QKA1983" s="35"/>
      <c r="QTV1983" s="35"/>
      <c r="QTW1983" s="35"/>
      <c r="RDR1983" s="35"/>
      <c r="RDS1983" s="35"/>
      <c r="RNN1983" s="35"/>
      <c r="RNO1983" s="35"/>
      <c r="RXJ1983" s="35"/>
      <c r="RXK1983" s="35"/>
      <c r="SHF1983" s="35"/>
      <c r="SHG1983" s="35"/>
      <c r="SRB1983" s="35"/>
      <c r="SRC1983" s="35"/>
      <c r="TAX1983" s="35"/>
      <c r="TAY1983" s="35"/>
      <c r="TKT1983" s="35"/>
      <c r="TKU1983" s="35"/>
      <c r="TUP1983" s="35"/>
      <c r="TUQ1983" s="35"/>
      <c r="UEL1983" s="35"/>
      <c r="UEM1983" s="35"/>
      <c r="UOH1983" s="35"/>
      <c r="UOI1983" s="35"/>
      <c r="UYD1983" s="35"/>
      <c r="UYE1983" s="35"/>
      <c r="VHZ1983" s="35"/>
      <c r="VIA1983" s="35"/>
      <c r="VRV1983" s="35"/>
      <c r="VRW1983" s="35"/>
      <c r="WBR1983" s="35"/>
      <c r="WBS1983" s="35"/>
      <c r="WLN1983" s="35"/>
      <c r="WLO1983" s="35"/>
      <c r="WVJ1983" s="35"/>
      <c r="WVK1983" s="35"/>
    </row>
    <row r="1984" spans="1:771 1026:1795 2050:2819 3074:3843 4098:4867 5122:5891 6146:6915 7170:7939 8194:8963 9218:9987 10242:11011 11266:12035 12290:13059 13314:14083 14338:15107 15362:16131" s="35" customFormat="1" ht="55.2" x14ac:dyDescent="0.3">
      <c r="A1984" s="28">
        <v>184</v>
      </c>
      <c r="B1984" s="29" t="s">
        <v>1523</v>
      </c>
      <c r="C1984" s="30" t="s">
        <v>1525</v>
      </c>
      <c r="D1984" s="31" t="s">
        <v>13</v>
      </c>
      <c r="E1984" s="32">
        <f>8.4+17.8</f>
        <v>26.200000000000003</v>
      </c>
      <c r="F1984" s="33"/>
      <c r="G1984" s="33"/>
      <c r="H1984" s="34" t="s">
        <v>1520</v>
      </c>
    </row>
    <row r="1985" spans="1:771 1026:1795 2050:2819 3074:3843 4098:4867 5122:5891 6146:6915 7170:7939 8194:8963 9218:9987 10242:11011 11266:12035 12290:13059 13314:14083 14338:15107 15362:16131" s="35" customFormat="1" x14ac:dyDescent="0.3">
      <c r="A1985" s="36"/>
      <c r="B1985" s="72" t="s">
        <v>1516</v>
      </c>
      <c r="C1985" s="38" t="s">
        <v>14</v>
      </c>
      <c r="D1985" s="39"/>
      <c r="E1985" s="44"/>
      <c r="F1985" s="40"/>
      <c r="G1985" s="41">
        <f>SUM(G1986)</f>
        <v>510349800.00000006</v>
      </c>
      <c r="H1985" s="42"/>
    </row>
    <row r="1986" spans="1:771 1026:1795 2050:2819 3074:3843 4098:4867 5122:5891 6146:6915 7170:7939 8194:8963 9218:9987 10242:11011 11266:12035 12290:13059 13314:14083 14338:15107 15362:16131" s="35" customFormat="1" ht="62.4" x14ac:dyDescent="0.3">
      <c r="A1986" s="36"/>
      <c r="B1986" s="72" t="s">
        <v>1524</v>
      </c>
      <c r="C1986" s="48" t="s">
        <v>38</v>
      </c>
      <c r="D1986" s="39" t="s">
        <v>13</v>
      </c>
      <c r="E1986" s="44">
        <f>8.4+17.8</f>
        <v>26.200000000000003</v>
      </c>
      <c r="F1986" s="161">
        <v>19479000</v>
      </c>
      <c r="G1986" s="40">
        <f>E1986*F1986</f>
        <v>510349800.00000006</v>
      </c>
      <c r="H1986" s="42"/>
    </row>
    <row r="1987" spans="1:771 1026:1795 2050:2819 3074:3843 4098:4867 5122:5891 6146:6915 7170:7939 8194:8963 9218:9987 10242:11011 11266:12035 12290:13059 13314:14083 14338:15107 15362:16131" s="35" customFormat="1" x14ac:dyDescent="0.3">
      <c r="A1987" s="36"/>
      <c r="B1987" s="38"/>
      <c r="C1987" s="47" t="s">
        <v>35</v>
      </c>
      <c r="D1987" s="39"/>
      <c r="E1987" s="73"/>
      <c r="F1987" s="40"/>
      <c r="G1987" s="41">
        <f>SUM(G1988)</f>
        <v>3774384</v>
      </c>
      <c r="H1987" s="45"/>
    </row>
    <row r="1988" spans="1:771 1026:1795 2050:2819 3074:3843 4098:4867 5122:5891 6146:6915 7170:7939 8194:8963 9218:9987 10242:11011 11266:12035 12290:13059 13314:14083 14338:15107 15362:16131" s="35" customFormat="1" ht="46.8" x14ac:dyDescent="0.3">
      <c r="A1988" s="36"/>
      <c r="B1988" s="72"/>
      <c r="C1988" s="66" t="s">
        <v>1526</v>
      </c>
      <c r="D1988" s="39" t="s">
        <v>13</v>
      </c>
      <c r="E1988" s="73">
        <f>((4.13*11.64)/2)-(3.14*2.09)</f>
        <v>17.474</v>
      </c>
      <c r="F1988" s="74">
        <f>540000*40%</f>
        <v>216000</v>
      </c>
      <c r="G1988" s="40">
        <f>E1988*F1988</f>
        <v>3774384</v>
      </c>
      <c r="H1988" s="45" t="s">
        <v>2534</v>
      </c>
    </row>
    <row r="1989" spans="1:771 1026:1795 2050:2819 3074:3843 4098:4867 5122:5891 6146:6915 7170:7939 8194:8963 9218:9987 10242:11011 11266:12035 12290:13059 13314:14083 14338:15107 15362:16131" s="35" customFormat="1" ht="65.400000000000006" thickBot="1" x14ac:dyDescent="0.35">
      <c r="A1989" s="53"/>
      <c r="B1989" s="54"/>
      <c r="C1989" s="55" t="s">
        <v>2331</v>
      </c>
      <c r="D1989" s="56"/>
      <c r="E1989" s="5"/>
      <c r="F1989" s="6"/>
      <c r="G1989" s="57"/>
      <c r="H1989" s="58"/>
    </row>
    <row r="1990" spans="1:771 1026:1795 2050:2819 3074:3843 4098:4867 5122:5891 6146:6915 7170:7939 8194:8963 9218:9987 10242:11011 11266:12035 12290:13059 13314:14083 14338:15107 15362:16131" s="59" customFormat="1" ht="31.8" thickBot="1" x14ac:dyDescent="0.35">
      <c r="A1990" s="154"/>
      <c r="B1990" s="155" t="s">
        <v>26</v>
      </c>
      <c r="C1990" s="156"/>
      <c r="D1990" s="154"/>
      <c r="E1990" s="157"/>
      <c r="F1990" s="158"/>
      <c r="G1990" s="159">
        <f>SUM(G1984:G1989)/2</f>
        <v>514124184.00000006</v>
      </c>
      <c r="H1990" s="160"/>
      <c r="IX1990" s="35"/>
      <c r="IY1990" s="35"/>
      <c r="ST1990" s="35"/>
      <c r="SU1990" s="35"/>
      <c r="ACP1990" s="35"/>
      <c r="ACQ1990" s="35"/>
      <c r="AML1990" s="35"/>
      <c r="AMM1990" s="35"/>
      <c r="AWH1990" s="35"/>
      <c r="AWI1990" s="35"/>
      <c r="BGD1990" s="35"/>
      <c r="BGE1990" s="35"/>
      <c r="BPZ1990" s="35"/>
      <c r="BQA1990" s="35"/>
      <c r="BZV1990" s="35"/>
      <c r="BZW1990" s="35"/>
      <c r="CJR1990" s="35"/>
      <c r="CJS1990" s="35"/>
      <c r="CTN1990" s="35"/>
      <c r="CTO1990" s="35"/>
      <c r="DDJ1990" s="35"/>
      <c r="DDK1990" s="35"/>
      <c r="DNF1990" s="35"/>
      <c r="DNG1990" s="35"/>
      <c r="DXB1990" s="35"/>
      <c r="DXC1990" s="35"/>
      <c r="EGX1990" s="35"/>
      <c r="EGY1990" s="35"/>
      <c r="EQT1990" s="35"/>
      <c r="EQU1990" s="35"/>
      <c r="FAP1990" s="35"/>
      <c r="FAQ1990" s="35"/>
      <c r="FKL1990" s="35"/>
      <c r="FKM1990" s="35"/>
      <c r="FUH1990" s="35"/>
      <c r="FUI1990" s="35"/>
      <c r="GED1990" s="35"/>
      <c r="GEE1990" s="35"/>
      <c r="GNZ1990" s="35"/>
      <c r="GOA1990" s="35"/>
      <c r="GXV1990" s="35"/>
      <c r="GXW1990" s="35"/>
      <c r="HHR1990" s="35"/>
      <c r="HHS1990" s="35"/>
      <c r="HRN1990" s="35"/>
      <c r="HRO1990" s="35"/>
      <c r="IBJ1990" s="35"/>
      <c r="IBK1990" s="35"/>
      <c r="ILF1990" s="35"/>
      <c r="ILG1990" s="35"/>
      <c r="IVB1990" s="35"/>
      <c r="IVC1990" s="35"/>
      <c r="JEX1990" s="35"/>
      <c r="JEY1990" s="35"/>
      <c r="JOT1990" s="35"/>
      <c r="JOU1990" s="35"/>
      <c r="JYP1990" s="35"/>
      <c r="JYQ1990" s="35"/>
      <c r="KIL1990" s="35"/>
      <c r="KIM1990" s="35"/>
      <c r="KSH1990" s="35"/>
      <c r="KSI1990" s="35"/>
      <c r="LCD1990" s="35"/>
      <c r="LCE1990" s="35"/>
      <c r="LLZ1990" s="35"/>
      <c r="LMA1990" s="35"/>
      <c r="LVV1990" s="35"/>
      <c r="LVW1990" s="35"/>
      <c r="MFR1990" s="35"/>
      <c r="MFS1990" s="35"/>
      <c r="MPN1990" s="35"/>
      <c r="MPO1990" s="35"/>
      <c r="MZJ1990" s="35"/>
      <c r="MZK1990" s="35"/>
      <c r="NJF1990" s="35"/>
      <c r="NJG1990" s="35"/>
      <c r="NTB1990" s="35"/>
      <c r="NTC1990" s="35"/>
      <c r="OCX1990" s="35"/>
      <c r="OCY1990" s="35"/>
      <c r="OMT1990" s="35"/>
      <c r="OMU1990" s="35"/>
      <c r="OWP1990" s="35"/>
      <c r="OWQ1990" s="35"/>
      <c r="PGL1990" s="35"/>
      <c r="PGM1990" s="35"/>
      <c r="PQH1990" s="35"/>
      <c r="PQI1990" s="35"/>
      <c r="QAD1990" s="35"/>
      <c r="QAE1990" s="35"/>
      <c r="QJZ1990" s="35"/>
      <c r="QKA1990" s="35"/>
      <c r="QTV1990" s="35"/>
      <c r="QTW1990" s="35"/>
      <c r="RDR1990" s="35"/>
      <c r="RDS1990" s="35"/>
      <c r="RNN1990" s="35"/>
      <c r="RNO1990" s="35"/>
      <c r="RXJ1990" s="35"/>
      <c r="RXK1990" s="35"/>
      <c r="SHF1990" s="35"/>
      <c r="SHG1990" s="35"/>
      <c r="SRB1990" s="35"/>
      <c r="SRC1990" s="35"/>
      <c r="TAX1990" s="35"/>
      <c r="TAY1990" s="35"/>
      <c r="TKT1990" s="35"/>
      <c r="TKU1990" s="35"/>
      <c r="TUP1990" s="35"/>
      <c r="TUQ1990" s="35"/>
      <c r="UEL1990" s="35"/>
      <c r="UEM1990" s="35"/>
      <c r="UOH1990" s="35"/>
      <c r="UOI1990" s="35"/>
      <c r="UYD1990" s="35"/>
      <c r="UYE1990" s="35"/>
      <c r="VHZ1990" s="35"/>
      <c r="VIA1990" s="35"/>
      <c r="VRV1990" s="35"/>
      <c r="VRW1990" s="35"/>
      <c r="WBR1990" s="35"/>
      <c r="WBS1990" s="35"/>
      <c r="WLN1990" s="35"/>
      <c r="WLO1990" s="35"/>
      <c r="WVJ1990" s="35"/>
      <c r="WVK1990" s="35"/>
    </row>
    <row r="1991" spans="1:771 1026:1795 2050:2819 3074:3843 4098:4867 5122:5891 6146:6915 7170:7939 8194:8963 9218:9987 10242:11011 11266:12035 12290:13059 13314:14083 14338:15107 15362:16131" s="35" customFormat="1" ht="46.8" x14ac:dyDescent="0.3">
      <c r="A1991" s="28">
        <v>185</v>
      </c>
      <c r="B1991" s="29" t="s">
        <v>1527</v>
      </c>
      <c r="C1991" s="30" t="s">
        <v>2614</v>
      </c>
      <c r="D1991" s="31" t="s">
        <v>13</v>
      </c>
      <c r="E1991" s="32">
        <f>9.2+18.2+7.3</f>
        <v>34.699999999999996</v>
      </c>
      <c r="F1991" s="33"/>
      <c r="G1991" s="33"/>
      <c r="H1991" s="34" t="s">
        <v>1530</v>
      </c>
    </row>
    <row r="1992" spans="1:771 1026:1795 2050:2819 3074:3843 4098:4867 5122:5891 6146:6915 7170:7939 8194:8963 9218:9987 10242:11011 11266:12035 12290:13059 13314:14083 14338:15107 15362:16131" s="35" customFormat="1" x14ac:dyDescent="0.3">
      <c r="A1992" s="36"/>
      <c r="B1992" s="72" t="s">
        <v>1528</v>
      </c>
      <c r="C1992" s="38" t="s">
        <v>14</v>
      </c>
      <c r="D1992" s="39"/>
      <c r="E1992" s="44"/>
      <c r="F1992" s="40"/>
      <c r="G1992" s="41">
        <f>SUM(G1993)</f>
        <v>361018799.99999994</v>
      </c>
      <c r="H1992" s="42"/>
    </row>
    <row r="1993" spans="1:771 1026:1795 2050:2819 3074:3843 4098:4867 5122:5891 6146:6915 7170:7939 8194:8963 9218:9987 10242:11011 11266:12035 12290:13059 13314:14083 14338:15107 15362:16131" s="35" customFormat="1" ht="78" x14ac:dyDescent="0.3">
      <c r="A1993" s="36"/>
      <c r="B1993" s="72" t="s">
        <v>1529</v>
      </c>
      <c r="C1993" s="43" t="s">
        <v>55</v>
      </c>
      <c r="D1993" s="39" t="s">
        <v>13</v>
      </c>
      <c r="E1993" s="44">
        <f>9.2+18.2+7.3</f>
        <v>34.699999999999996</v>
      </c>
      <c r="F1993" s="153">
        <v>10404000</v>
      </c>
      <c r="G1993" s="40">
        <f>E1993*F1993</f>
        <v>361018799.99999994</v>
      </c>
      <c r="H1993" s="42"/>
    </row>
    <row r="1994" spans="1:771 1026:1795 2050:2819 3074:3843 4098:4867 5122:5891 6146:6915 7170:7939 8194:8963 9218:9987 10242:11011 11266:12035 12290:13059 13314:14083 14338:15107 15362:16131" s="35" customFormat="1" x14ac:dyDescent="0.3">
      <c r="A1994" s="36"/>
      <c r="B1994" s="38"/>
      <c r="C1994" s="47" t="s">
        <v>35</v>
      </c>
      <c r="D1994" s="39"/>
      <c r="E1994" s="73"/>
      <c r="F1994" s="40"/>
      <c r="G1994" s="41">
        <f>SUM(G1995:G1997)</f>
        <v>0</v>
      </c>
      <c r="H1994" s="45"/>
    </row>
    <row r="1995" spans="1:771 1026:1795 2050:2819 3074:3843 4098:4867 5122:5891 6146:6915 7170:7939 8194:8963 9218:9987 10242:11011 11266:12035 12290:13059 13314:14083 14338:15107 15362:16131" s="35" customFormat="1" ht="69" x14ac:dyDescent="0.3">
      <c r="A1995" s="36"/>
      <c r="B1995" s="38"/>
      <c r="C1995" s="101" t="s">
        <v>1531</v>
      </c>
      <c r="D1995" s="39" t="s">
        <v>13</v>
      </c>
      <c r="E1995" s="73">
        <v>12.3</v>
      </c>
      <c r="F1995" s="40"/>
      <c r="G1995" s="40">
        <f>E1995*F1995</f>
        <v>0</v>
      </c>
      <c r="H1995" s="45" t="s">
        <v>2535</v>
      </c>
    </row>
    <row r="1996" spans="1:771 1026:1795 2050:2819 3074:3843 4098:4867 5122:5891 6146:6915 7170:7939 8194:8963 9218:9987 10242:11011 11266:12035 12290:13059 13314:14083 14338:15107 15362:16131" s="35" customFormat="1" ht="27.6" x14ac:dyDescent="0.3">
      <c r="A1996" s="36"/>
      <c r="B1996" s="72"/>
      <c r="C1996" s="101" t="s">
        <v>1532</v>
      </c>
      <c r="D1996" s="39" t="s">
        <v>13</v>
      </c>
      <c r="E1996" s="73">
        <f>0.75*2.4/2</f>
        <v>0.89999999999999991</v>
      </c>
      <c r="F1996" s="74"/>
      <c r="G1996" s="40">
        <f>E1996*F1996</f>
        <v>0</v>
      </c>
      <c r="H1996" s="45" t="s">
        <v>2453</v>
      </c>
    </row>
    <row r="1997" spans="1:771 1026:1795 2050:2819 3074:3843 4098:4867 5122:5891 6146:6915 7170:7939 8194:8963 9218:9987 10242:11011 11266:12035 12290:13059 13314:14083 14338:15107 15362:16131" s="35" customFormat="1" ht="31.2" x14ac:dyDescent="0.3">
      <c r="A1997" s="36"/>
      <c r="B1997" s="72"/>
      <c r="C1997" s="66" t="s">
        <v>1533</v>
      </c>
      <c r="D1997" s="39" t="s">
        <v>13</v>
      </c>
      <c r="E1997" s="73">
        <f>2.1*3.8</f>
        <v>7.9799999999999995</v>
      </c>
      <c r="F1997" s="74"/>
      <c r="G1997" s="40">
        <f>E1997*F1997</f>
        <v>0</v>
      </c>
      <c r="H1997" s="45" t="s">
        <v>2453</v>
      </c>
    </row>
    <row r="1998" spans="1:771 1026:1795 2050:2819 3074:3843 4098:4867 5122:5891 6146:6915 7170:7939 8194:8963 9218:9987 10242:11011 11266:12035 12290:13059 13314:14083 14338:15107 15362:16131" s="35" customFormat="1" x14ac:dyDescent="0.3">
      <c r="A1998" s="36"/>
      <c r="B1998" s="46"/>
      <c r="C1998" s="51" t="s">
        <v>23</v>
      </c>
      <c r="D1998" s="39"/>
      <c r="E1998" s="1"/>
      <c r="F1998" s="2"/>
      <c r="G1998" s="41">
        <f>SUM(G1999)</f>
        <v>3060000</v>
      </c>
      <c r="H1998" s="52"/>
    </row>
    <row r="1999" spans="1:771 1026:1795 2050:2819 3074:3843 4098:4867 5122:5891 6146:6915 7170:7939 8194:8963 9218:9987 10242:11011 11266:12035 12290:13059 13314:14083 14338:15107 15362:16131" s="35" customFormat="1" x14ac:dyDescent="0.3">
      <c r="A1999" s="36"/>
      <c r="B1999" s="46"/>
      <c r="C1999" s="50" t="s">
        <v>24</v>
      </c>
      <c r="D1999" s="39" t="s">
        <v>25</v>
      </c>
      <c r="E1999" s="1">
        <f>1*30*6</f>
        <v>180</v>
      </c>
      <c r="F1999" s="2">
        <v>17000</v>
      </c>
      <c r="G1999" s="40">
        <f>E1999*F1999</f>
        <v>3060000</v>
      </c>
      <c r="H1999" s="42"/>
    </row>
    <row r="2000" spans="1:771 1026:1795 2050:2819 3074:3843 4098:4867 5122:5891 6146:6915 7170:7939 8194:8963 9218:9987 10242:11011 11266:12035 12290:13059 13314:14083 14338:15107 15362:16131" s="35" customFormat="1" ht="65.400000000000006" thickBot="1" x14ac:dyDescent="0.35">
      <c r="A2000" s="53"/>
      <c r="B2000" s="54"/>
      <c r="C2000" s="55" t="s">
        <v>2331</v>
      </c>
      <c r="D2000" s="56"/>
      <c r="E2000" s="5"/>
      <c r="F2000" s="6"/>
      <c r="G2000" s="57"/>
      <c r="H2000" s="58"/>
    </row>
    <row r="2001" spans="1:771 1026:1795 2050:2819 3074:3843 4098:4867 5122:5891 6146:6915 7170:7939 8194:8963 9218:9987 10242:11011 11266:12035 12290:13059 13314:14083 14338:15107 15362:16131" s="59" customFormat="1" ht="31.8" thickBot="1" x14ac:dyDescent="0.35">
      <c r="A2001" s="154"/>
      <c r="B2001" s="155" t="s">
        <v>26</v>
      </c>
      <c r="C2001" s="156"/>
      <c r="D2001" s="154"/>
      <c r="E2001" s="157"/>
      <c r="F2001" s="158"/>
      <c r="G2001" s="159">
        <f>SUM(G1991:G2000)/2</f>
        <v>364078799.99999994</v>
      </c>
      <c r="H2001" s="160"/>
      <c r="IX2001" s="35"/>
      <c r="IY2001" s="35"/>
      <c r="ST2001" s="35"/>
      <c r="SU2001" s="35"/>
      <c r="ACP2001" s="35"/>
      <c r="ACQ2001" s="35"/>
      <c r="AML2001" s="35"/>
      <c r="AMM2001" s="35"/>
      <c r="AWH2001" s="35"/>
      <c r="AWI2001" s="35"/>
      <c r="BGD2001" s="35"/>
      <c r="BGE2001" s="35"/>
      <c r="BPZ2001" s="35"/>
      <c r="BQA2001" s="35"/>
      <c r="BZV2001" s="35"/>
      <c r="BZW2001" s="35"/>
      <c r="CJR2001" s="35"/>
      <c r="CJS2001" s="35"/>
      <c r="CTN2001" s="35"/>
      <c r="CTO2001" s="35"/>
      <c r="DDJ2001" s="35"/>
      <c r="DDK2001" s="35"/>
      <c r="DNF2001" s="35"/>
      <c r="DNG2001" s="35"/>
      <c r="DXB2001" s="35"/>
      <c r="DXC2001" s="35"/>
      <c r="EGX2001" s="35"/>
      <c r="EGY2001" s="35"/>
      <c r="EQT2001" s="35"/>
      <c r="EQU2001" s="35"/>
      <c r="FAP2001" s="35"/>
      <c r="FAQ2001" s="35"/>
      <c r="FKL2001" s="35"/>
      <c r="FKM2001" s="35"/>
      <c r="FUH2001" s="35"/>
      <c r="FUI2001" s="35"/>
      <c r="GED2001" s="35"/>
      <c r="GEE2001" s="35"/>
      <c r="GNZ2001" s="35"/>
      <c r="GOA2001" s="35"/>
      <c r="GXV2001" s="35"/>
      <c r="GXW2001" s="35"/>
      <c r="HHR2001" s="35"/>
      <c r="HHS2001" s="35"/>
      <c r="HRN2001" s="35"/>
      <c r="HRO2001" s="35"/>
      <c r="IBJ2001" s="35"/>
      <c r="IBK2001" s="35"/>
      <c r="ILF2001" s="35"/>
      <c r="ILG2001" s="35"/>
      <c r="IVB2001" s="35"/>
      <c r="IVC2001" s="35"/>
      <c r="JEX2001" s="35"/>
      <c r="JEY2001" s="35"/>
      <c r="JOT2001" s="35"/>
      <c r="JOU2001" s="35"/>
      <c r="JYP2001" s="35"/>
      <c r="JYQ2001" s="35"/>
      <c r="KIL2001" s="35"/>
      <c r="KIM2001" s="35"/>
      <c r="KSH2001" s="35"/>
      <c r="KSI2001" s="35"/>
      <c r="LCD2001" s="35"/>
      <c r="LCE2001" s="35"/>
      <c r="LLZ2001" s="35"/>
      <c r="LMA2001" s="35"/>
      <c r="LVV2001" s="35"/>
      <c r="LVW2001" s="35"/>
      <c r="MFR2001" s="35"/>
      <c r="MFS2001" s="35"/>
      <c r="MPN2001" s="35"/>
      <c r="MPO2001" s="35"/>
      <c r="MZJ2001" s="35"/>
      <c r="MZK2001" s="35"/>
      <c r="NJF2001" s="35"/>
      <c r="NJG2001" s="35"/>
      <c r="NTB2001" s="35"/>
      <c r="NTC2001" s="35"/>
      <c r="OCX2001" s="35"/>
      <c r="OCY2001" s="35"/>
      <c r="OMT2001" s="35"/>
      <c r="OMU2001" s="35"/>
      <c r="OWP2001" s="35"/>
      <c r="OWQ2001" s="35"/>
      <c r="PGL2001" s="35"/>
      <c r="PGM2001" s="35"/>
      <c r="PQH2001" s="35"/>
      <c r="PQI2001" s="35"/>
      <c r="QAD2001" s="35"/>
      <c r="QAE2001" s="35"/>
      <c r="QJZ2001" s="35"/>
      <c r="QKA2001" s="35"/>
      <c r="QTV2001" s="35"/>
      <c r="QTW2001" s="35"/>
      <c r="RDR2001" s="35"/>
      <c r="RDS2001" s="35"/>
      <c r="RNN2001" s="35"/>
      <c r="RNO2001" s="35"/>
      <c r="RXJ2001" s="35"/>
      <c r="RXK2001" s="35"/>
      <c r="SHF2001" s="35"/>
      <c r="SHG2001" s="35"/>
      <c r="SRB2001" s="35"/>
      <c r="SRC2001" s="35"/>
      <c r="TAX2001" s="35"/>
      <c r="TAY2001" s="35"/>
      <c r="TKT2001" s="35"/>
      <c r="TKU2001" s="35"/>
      <c r="TUP2001" s="35"/>
      <c r="TUQ2001" s="35"/>
      <c r="UEL2001" s="35"/>
      <c r="UEM2001" s="35"/>
      <c r="UOH2001" s="35"/>
      <c r="UOI2001" s="35"/>
      <c r="UYD2001" s="35"/>
      <c r="UYE2001" s="35"/>
      <c r="VHZ2001" s="35"/>
      <c r="VIA2001" s="35"/>
      <c r="VRV2001" s="35"/>
      <c r="VRW2001" s="35"/>
      <c r="WBR2001" s="35"/>
      <c r="WBS2001" s="35"/>
      <c r="WLN2001" s="35"/>
      <c r="WLO2001" s="35"/>
      <c r="WVJ2001" s="35"/>
      <c r="WVK2001" s="35"/>
    </row>
    <row r="2002" spans="1:771 1026:1795 2050:2819 3074:3843 4098:4867 5122:5891 6146:6915 7170:7939 8194:8963 9218:9987 10242:11011 11266:12035 12290:13059 13314:14083 14338:15107 15362:16131" s="35" customFormat="1" ht="55.2" x14ac:dyDescent="0.3">
      <c r="A2002" s="28">
        <v>186</v>
      </c>
      <c r="B2002" s="29" t="s">
        <v>1534</v>
      </c>
      <c r="C2002" s="30" t="s">
        <v>2615</v>
      </c>
      <c r="D2002" s="31" t="s">
        <v>13</v>
      </c>
      <c r="E2002" s="32">
        <v>8.8000000000000007</v>
      </c>
      <c r="F2002" s="33"/>
      <c r="G2002" s="33"/>
      <c r="H2002" s="34" t="s">
        <v>1537</v>
      </c>
    </row>
    <row r="2003" spans="1:771 1026:1795 2050:2819 3074:3843 4098:4867 5122:5891 6146:6915 7170:7939 8194:8963 9218:9987 10242:11011 11266:12035 12290:13059 13314:14083 14338:15107 15362:16131" s="35" customFormat="1" x14ac:dyDescent="0.3">
      <c r="A2003" s="36"/>
      <c r="B2003" s="72" t="s">
        <v>1535</v>
      </c>
      <c r="C2003" s="38" t="s">
        <v>14</v>
      </c>
      <c r="D2003" s="39"/>
      <c r="E2003" s="44"/>
      <c r="F2003" s="40"/>
      <c r="G2003" s="41">
        <f>SUM(G2004)</f>
        <v>171415200</v>
      </c>
      <c r="H2003" s="42"/>
    </row>
    <row r="2004" spans="1:771 1026:1795 2050:2819 3074:3843 4098:4867 5122:5891 6146:6915 7170:7939 8194:8963 9218:9987 10242:11011 11266:12035 12290:13059 13314:14083 14338:15107 15362:16131" s="35" customFormat="1" ht="78" x14ac:dyDescent="0.3">
      <c r="A2004" s="36"/>
      <c r="B2004" s="72" t="s">
        <v>1529</v>
      </c>
      <c r="C2004" s="48" t="s">
        <v>38</v>
      </c>
      <c r="D2004" s="39" t="s">
        <v>13</v>
      </c>
      <c r="E2004" s="44">
        <v>8.8000000000000007</v>
      </c>
      <c r="F2004" s="161">
        <v>19479000</v>
      </c>
      <c r="G2004" s="40">
        <f>E2004*F2004</f>
        <v>171415200</v>
      </c>
      <c r="H2004" s="42"/>
    </row>
    <row r="2005" spans="1:771 1026:1795 2050:2819 3074:3843 4098:4867 5122:5891 6146:6915 7170:7939 8194:8963 9218:9987 10242:11011 11266:12035 12290:13059 13314:14083 14338:15107 15362:16131" s="35" customFormat="1" x14ac:dyDescent="0.3">
      <c r="A2005" s="36"/>
      <c r="B2005" s="72" t="s">
        <v>1536</v>
      </c>
      <c r="C2005" s="47" t="s">
        <v>35</v>
      </c>
      <c r="D2005" s="39"/>
      <c r="E2005" s="73"/>
      <c r="F2005" s="40"/>
      <c r="G2005" s="41">
        <f>SUM(G2006)</f>
        <v>2090880</v>
      </c>
      <c r="H2005" s="45"/>
    </row>
    <row r="2006" spans="1:771 1026:1795 2050:2819 3074:3843 4098:4867 5122:5891 6146:6915 7170:7939 8194:8963 9218:9987 10242:11011 11266:12035 12290:13059 13314:14083 14338:15107 15362:16131" s="35" customFormat="1" ht="46.8" x14ac:dyDescent="0.3">
      <c r="A2006" s="36"/>
      <c r="B2006" s="72"/>
      <c r="C2006" s="66" t="s">
        <v>1461</v>
      </c>
      <c r="D2006" s="39" t="s">
        <v>13</v>
      </c>
      <c r="E2006" s="73">
        <f>(2*5.2)-(0.6*2.4*0.5)</f>
        <v>9.68</v>
      </c>
      <c r="F2006" s="74">
        <f>540000*40%</f>
        <v>216000</v>
      </c>
      <c r="G2006" s="40">
        <f>E2006*F2006</f>
        <v>2090880</v>
      </c>
      <c r="H2006" s="45" t="s">
        <v>2536</v>
      </c>
    </row>
    <row r="2007" spans="1:771 1026:1795 2050:2819 3074:3843 4098:4867 5122:5891 6146:6915 7170:7939 8194:8963 9218:9987 10242:11011 11266:12035 12290:13059 13314:14083 14338:15107 15362:16131" s="109" customFormat="1" x14ac:dyDescent="0.3">
      <c r="A2007" s="36"/>
      <c r="B2007" s="64"/>
      <c r="C2007" s="51" t="s">
        <v>20</v>
      </c>
      <c r="D2007" s="36"/>
      <c r="E2007" s="73"/>
      <c r="F2007" s="41"/>
      <c r="G2007" s="41">
        <f>SUM(G2008:G2009)</f>
        <v>60000</v>
      </c>
      <c r="H2007" s="108"/>
    </row>
    <row r="2008" spans="1:771 1026:1795 2050:2819 3074:3843 4098:4867 5122:5891 6146:6915 7170:7939 8194:8963 9218:9987 10242:11011 11266:12035 12290:13059 13314:14083 14338:15107 15362:16131" s="77" customFormat="1" x14ac:dyDescent="0.3">
      <c r="A2008" s="36"/>
      <c r="B2008" s="37"/>
      <c r="C2008" s="75" t="s">
        <v>195</v>
      </c>
      <c r="D2008" s="76" t="s">
        <v>22</v>
      </c>
      <c r="E2008" s="73">
        <v>1</v>
      </c>
      <c r="F2008" s="74">
        <v>40000</v>
      </c>
      <c r="G2008" s="40">
        <f>E2008*F2008</f>
        <v>40000</v>
      </c>
      <c r="H2008" s="52"/>
    </row>
    <row r="2009" spans="1:771 1026:1795 2050:2819 3074:3843 4098:4867 5122:5891 6146:6915 7170:7939 8194:8963 9218:9987 10242:11011 11266:12035 12290:13059 13314:14083 14338:15107 15362:16131" s="77" customFormat="1" x14ac:dyDescent="0.3">
      <c r="A2009" s="36"/>
      <c r="B2009" s="37"/>
      <c r="C2009" s="75" t="s">
        <v>196</v>
      </c>
      <c r="D2009" s="76" t="s">
        <v>22</v>
      </c>
      <c r="E2009" s="73">
        <v>1</v>
      </c>
      <c r="F2009" s="74">
        <v>20000</v>
      </c>
      <c r="G2009" s="40">
        <f>E2009*F2009</f>
        <v>20000</v>
      </c>
      <c r="H2009" s="52"/>
    </row>
    <row r="2010" spans="1:771 1026:1795 2050:2819 3074:3843 4098:4867 5122:5891 6146:6915 7170:7939 8194:8963 9218:9987 10242:11011 11266:12035 12290:13059 13314:14083 14338:15107 15362:16131" s="35" customFormat="1" ht="65.400000000000006" thickBot="1" x14ac:dyDescent="0.35">
      <c r="A2010" s="53"/>
      <c r="B2010" s="54"/>
      <c r="C2010" s="55" t="s">
        <v>2331</v>
      </c>
      <c r="D2010" s="56"/>
      <c r="E2010" s="5"/>
      <c r="F2010" s="6"/>
      <c r="G2010" s="57"/>
      <c r="H2010" s="58"/>
    </row>
    <row r="2011" spans="1:771 1026:1795 2050:2819 3074:3843 4098:4867 5122:5891 6146:6915 7170:7939 8194:8963 9218:9987 10242:11011 11266:12035 12290:13059 13314:14083 14338:15107 15362:16131" s="59" customFormat="1" ht="31.8" thickBot="1" x14ac:dyDescent="0.35">
      <c r="A2011" s="154"/>
      <c r="B2011" s="155" t="s">
        <v>26</v>
      </c>
      <c r="C2011" s="156"/>
      <c r="D2011" s="154"/>
      <c r="E2011" s="157"/>
      <c r="F2011" s="158"/>
      <c r="G2011" s="159">
        <f>SUM(G2002:G2010)/2</f>
        <v>173566080</v>
      </c>
      <c r="H2011" s="160"/>
      <c r="IX2011" s="35"/>
      <c r="IY2011" s="35"/>
      <c r="ST2011" s="35"/>
      <c r="SU2011" s="35"/>
      <c r="ACP2011" s="35"/>
      <c r="ACQ2011" s="35"/>
      <c r="AML2011" s="35"/>
      <c r="AMM2011" s="35"/>
      <c r="AWH2011" s="35"/>
      <c r="AWI2011" s="35"/>
      <c r="BGD2011" s="35"/>
      <c r="BGE2011" s="35"/>
      <c r="BPZ2011" s="35"/>
      <c r="BQA2011" s="35"/>
      <c r="BZV2011" s="35"/>
      <c r="BZW2011" s="35"/>
      <c r="CJR2011" s="35"/>
      <c r="CJS2011" s="35"/>
      <c r="CTN2011" s="35"/>
      <c r="CTO2011" s="35"/>
      <c r="DDJ2011" s="35"/>
      <c r="DDK2011" s="35"/>
      <c r="DNF2011" s="35"/>
      <c r="DNG2011" s="35"/>
      <c r="DXB2011" s="35"/>
      <c r="DXC2011" s="35"/>
      <c r="EGX2011" s="35"/>
      <c r="EGY2011" s="35"/>
      <c r="EQT2011" s="35"/>
      <c r="EQU2011" s="35"/>
      <c r="FAP2011" s="35"/>
      <c r="FAQ2011" s="35"/>
      <c r="FKL2011" s="35"/>
      <c r="FKM2011" s="35"/>
      <c r="FUH2011" s="35"/>
      <c r="FUI2011" s="35"/>
      <c r="GED2011" s="35"/>
      <c r="GEE2011" s="35"/>
      <c r="GNZ2011" s="35"/>
      <c r="GOA2011" s="35"/>
      <c r="GXV2011" s="35"/>
      <c r="GXW2011" s="35"/>
      <c r="HHR2011" s="35"/>
      <c r="HHS2011" s="35"/>
      <c r="HRN2011" s="35"/>
      <c r="HRO2011" s="35"/>
      <c r="IBJ2011" s="35"/>
      <c r="IBK2011" s="35"/>
      <c r="ILF2011" s="35"/>
      <c r="ILG2011" s="35"/>
      <c r="IVB2011" s="35"/>
      <c r="IVC2011" s="35"/>
      <c r="JEX2011" s="35"/>
      <c r="JEY2011" s="35"/>
      <c r="JOT2011" s="35"/>
      <c r="JOU2011" s="35"/>
      <c r="JYP2011" s="35"/>
      <c r="JYQ2011" s="35"/>
      <c r="KIL2011" s="35"/>
      <c r="KIM2011" s="35"/>
      <c r="KSH2011" s="35"/>
      <c r="KSI2011" s="35"/>
      <c r="LCD2011" s="35"/>
      <c r="LCE2011" s="35"/>
      <c r="LLZ2011" s="35"/>
      <c r="LMA2011" s="35"/>
      <c r="LVV2011" s="35"/>
      <c r="LVW2011" s="35"/>
      <c r="MFR2011" s="35"/>
      <c r="MFS2011" s="35"/>
      <c r="MPN2011" s="35"/>
      <c r="MPO2011" s="35"/>
      <c r="MZJ2011" s="35"/>
      <c r="MZK2011" s="35"/>
      <c r="NJF2011" s="35"/>
      <c r="NJG2011" s="35"/>
      <c r="NTB2011" s="35"/>
      <c r="NTC2011" s="35"/>
      <c r="OCX2011" s="35"/>
      <c r="OCY2011" s="35"/>
      <c r="OMT2011" s="35"/>
      <c r="OMU2011" s="35"/>
      <c r="OWP2011" s="35"/>
      <c r="OWQ2011" s="35"/>
      <c r="PGL2011" s="35"/>
      <c r="PGM2011" s="35"/>
      <c r="PQH2011" s="35"/>
      <c r="PQI2011" s="35"/>
      <c r="QAD2011" s="35"/>
      <c r="QAE2011" s="35"/>
      <c r="QJZ2011" s="35"/>
      <c r="QKA2011" s="35"/>
      <c r="QTV2011" s="35"/>
      <c r="QTW2011" s="35"/>
      <c r="RDR2011" s="35"/>
      <c r="RDS2011" s="35"/>
      <c r="RNN2011" s="35"/>
      <c r="RNO2011" s="35"/>
      <c r="RXJ2011" s="35"/>
      <c r="RXK2011" s="35"/>
      <c r="SHF2011" s="35"/>
      <c r="SHG2011" s="35"/>
      <c r="SRB2011" s="35"/>
      <c r="SRC2011" s="35"/>
      <c r="TAX2011" s="35"/>
      <c r="TAY2011" s="35"/>
      <c r="TKT2011" s="35"/>
      <c r="TKU2011" s="35"/>
      <c r="TUP2011" s="35"/>
      <c r="TUQ2011" s="35"/>
      <c r="UEL2011" s="35"/>
      <c r="UEM2011" s="35"/>
      <c r="UOH2011" s="35"/>
      <c r="UOI2011" s="35"/>
      <c r="UYD2011" s="35"/>
      <c r="UYE2011" s="35"/>
      <c r="VHZ2011" s="35"/>
      <c r="VIA2011" s="35"/>
      <c r="VRV2011" s="35"/>
      <c r="VRW2011" s="35"/>
      <c r="WBR2011" s="35"/>
      <c r="WBS2011" s="35"/>
      <c r="WLN2011" s="35"/>
      <c r="WLO2011" s="35"/>
      <c r="WVJ2011" s="35"/>
      <c r="WVK2011" s="35"/>
    </row>
    <row r="2012" spans="1:771 1026:1795 2050:2819 3074:3843 4098:4867 5122:5891 6146:6915 7170:7939 8194:8963 9218:9987 10242:11011 11266:12035 12290:13059 13314:14083 14338:15107 15362:16131" s="35" customFormat="1" ht="55.2" x14ac:dyDescent="0.3">
      <c r="A2012" s="28">
        <v>187</v>
      </c>
      <c r="B2012" s="29" t="s">
        <v>1538</v>
      </c>
      <c r="C2012" s="30" t="s">
        <v>2616</v>
      </c>
      <c r="D2012" s="31" t="s">
        <v>13</v>
      </c>
      <c r="E2012" s="32">
        <v>12.4</v>
      </c>
      <c r="F2012" s="33"/>
      <c r="G2012" s="33"/>
      <c r="H2012" s="34" t="s">
        <v>1542</v>
      </c>
    </row>
    <row r="2013" spans="1:771 1026:1795 2050:2819 3074:3843 4098:4867 5122:5891 6146:6915 7170:7939 8194:8963 9218:9987 10242:11011 11266:12035 12290:13059 13314:14083 14338:15107 15362:16131" s="35" customFormat="1" x14ac:dyDescent="0.3">
      <c r="A2013" s="36"/>
      <c r="B2013" s="72" t="s">
        <v>1539</v>
      </c>
      <c r="C2013" s="38" t="s">
        <v>14</v>
      </c>
      <c r="D2013" s="39"/>
      <c r="E2013" s="44"/>
      <c r="F2013" s="40"/>
      <c r="G2013" s="41">
        <f>SUM(G2014)</f>
        <v>241539600</v>
      </c>
      <c r="H2013" s="42"/>
    </row>
    <row r="2014" spans="1:771 1026:1795 2050:2819 3074:3843 4098:4867 5122:5891 6146:6915 7170:7939 8194:8963 9218:9987 10242:11011 11266:12035 12290:13059 13314:14083 14338:15107 15362:16131" s="35" customFormat="1" ht="78" x14ac:dyDescent="0.3">
      <c r="A2014" s="36"/>
      <c r="B2014" s="72" t="s">
        <v>1540</v>
      </c>
      <c r="C2014" s="48" t="s">
        <v>38</v>
      </c>
      <c r="D2014" s="39" t="s">
        <v>13</v>
      </c>
      <c r="E2014" s="44">
        <v>12.4</v>
      </c>
      <c r="F2014" s="161">
        <v>19479000</v>
      </c>
      <c r="G2014" s="40">
        <f>E2014*F2014</f>
        <v>241539600</v>
      </c>
      <c r="H2014" s="42"/>
    </row>
    <row r="2015" spans="1:771 1026:1795 2050:2819 3074:3843 4098:4867 5122:5891 6146:6915 7170:7939 8194:8963 9218:9987 10242:11011 11266:12035 12290:13059 13314:14083 14338:15107 15362:16131" s="35" customFormat="1" x14ac:dyDescent="0.3">
      <c r="A2015" s="36"/>
      <c r="B2015" s="72" t="s">
        <v>1541</v>
      </c>
      <c r="C2015" s="47" t="s">
        <v>35</v>
      </c>
      <c r="D2015" s="39"/>
      <c r="E2015" s="73"/>
      <c r="F2015" s="40"/>
      <c r="G2015" s="41">
        <f>SUM(G2016:G2018)</f>
        <v>10846800</v>
      </c>
      <c r="H2015" s="45"/>
    </row>
    <row r="2016" spans="1:771 1026:1795 2050:2819 3074:3843 4098:4867 5122:5891 6146:6915 7170:7939 8194:8963 9218:9987 10242:11011 11266:12035 12290:13059 13314:14083 14338:15107 15362:16131" s="35" customFormat="1" ht="78" x14ac:dyDescent="0.3">
      <c r="A2016" s="36"/>
      <c r="B2016" s="38"/>
      <c r="C2016" s="66" t="s">
        <v>1543</v>
      </c>
      <c r="D2016" s="39" t="s">
        <v>13</v>
      </c>
      <c r="E2016" s="73">
        <f>0.6*3/2</f>
        <v>0.89999999999999991</v>
      </c>
      <c r="F2016" s="40">
        <v>3592000</v>
      </c>
      <c r="G2016" s="40">
        <f>E2016*F2016</f>
        <v>3232799.9999999995</v>
      </c>
      <c r="H2016" s="45" t="s">
        <v>2538</v>
      </c>
    </row>
    <row r="2017" spans="1:771 1026:1795 2050:2819 3074:3843 4098:4867 5122:5891 6146:6915 7170:7939 8194:8963 9218:9987 10242:11011 11266:12035 12290:13059 13314:14083 14338:15107 15362:16131" s="35" customFormat="1" ht="46.8" x14ac:dyDescent="0.3">
      <c r="A2017" s="36"/>
      <c r="B2017" s="72"/>
      <c r="C2017" s="66" t="s">
        <v>2537</v>
      </c>
      <c r="D2017" s="39" t="s">
        <v>13</v>
      </c>
      <c r="E2017" s="73">
        <v>14.1</v>
      </c>
      <c r="F2017" s="74">
        <v>540000</v>
      </c>
      <c r="G2017" s="40">
        <f>E2017*F2017</f>
        <v>7614000</v>
      </c>
      <c r="H2017" s="50" t="s">
        <v>2375</v>
      </c>
    </row>
    <row r="2018" spans="1:771 1026:1795 2050:2819 3074:3843 4098:4867 5122:5891 6146:6915 7170:7939 8194:8963 9218:9987 10242:11011 11266:12035 12290:13059 13314:14083 14338:15107 15362:16131" s="35" customFormat="1" ht="65.400000000000006" thickBot="1" x14ac:dyDescent="0.35">
      <c r="A2018" s="53"/>
      <c r="B2018" s="54"/>
      <c r="C2018" s="55" t="s">
        <v>2331</v>
      </c>
      <c r="D2018" s="56"/>
      <c r="E2018" s="5"/>
      <c r="F2018" s="6"/>
      <c r="G2018" s="57"/>
      <c r="H2018" s="58"/>
    </row>
    <row r="2019" spans="1:771 1026:1795 2050:2819 3074:3843 4098:4867 5122:5891 6146:6915 7170:7939 8194:8963 9218:9987 10242:11011 11266:12035 12290:13059 13314:14083 14338:15107 15362:16131" s="59" customFormat="1" ht="31.8" thickBot="1" x14ac:dyDescent="0.35">
      <c r="A2019" s="154"/>
      <c r="B2019" s="155" t="s">
        <v>26</v>
      </c>
      <c r="C2019" s="156"/>
      <c r="D2019" s="154"/>
      <c r="E2019" s="157"/>
      <c r="F2019" s="158"/>
      <c r="G2019" s="159">
        <f>SUM(G2012:G2018)/2</f>
        <v>252386400</v>
      </c>
      <c r="H2019" s="160"/>
      <c r="IX2019" s="35"/>
      <c r="IY2019" s="35"/>
      <c r="ST2019" s="35"/>
      <c r="SU2019" s="35"/>
      <c r="ACP2019" s="35"/>
      <c r="ACQ2019" s="35"/>
      <c r="AML2019" s="35"/>
      <c r="AMM2019" s="35"/>
      <c r="AWH2019" s="35"/>
      <c r="AWI2019" s="35"/>
      <c r="BGD2019" s="35"/>
      <c r="BGE2019" s="35"/>
      <c r="BPZ2019" s="35"/>
      <c r="BQA2019" s="35"/>
      <c r="BZV2019" s="35"/>
      <c r="BZW2019" s="35"/>
      <c r="CJR2019" s="35"/>
      <c r="CJS2019" s="35"/>
      <c r="CTN2019" s="35"/>
      <c r="CTO2019" s="35"/>
      <c r="DDJ2019" s="35"/>
      <c r="DDK2019" s="35"/>
      <c r="DNF2019" s="35"/>
      <c r="DNG2019" s="35"/>
      <c r="DXB2019" s="35"/>
      <c r="DXC2019" s="35"/>
      <c r="EGX2019" s="35"/>
      <c r="EGY2019" s="35"/>
      <c r="EQT2019" s="35"/>
      <c r="EQU2019" s="35"/>
      <c r="FAP2019" s="35"/>
      <c r="FAQ2019" s="35"/>
      <c r="FKL2019" s="35"/>
      <c r="FKM2019" s="35"/>
      <c r="FUH2019" s="35"/>
      <c r="FUI2019" s="35"/>
      <c r="GED2019" s="35"/>
      <c r="GEE2019" s="35"/>
      <c r="GNZ2019" s="35"/>
      <c r="GOA2019" s="35"/>
      <c r="GXV2019" s="35"/>
      <c r="GXW2019" s="35"/>
      <c r="HHR2019" s="35"/>
      <c r="HHS2019" s="35"/>
      <c r="HRN2019" s="35"/>
      <c r="HRO2019" s="35"/>
      <c r="IBJ2019" s="35"/>
      <c r="IBK2019" s="35"/>
      <c r="ILF2019" s="35"/>
      <c r="ILG2019" s="35"/>
      <c r="IVB2019" s="35"/>
      <c r="IVC2019" s="35"/>
      <c r="JEX2019" s="35"/>
      <c r="JEY2019" s="35"/>
      <c r="JOT2019" s="35"/>
      <c r="JOU2019" s="35"/>
      <c r="JYP2019" s="35"/>
      <c r="JYQ2019" s="35"/>
      <c r="KIL2019" s="35"/>
      <c r="KIM2019" s="35"/>
      <c r="KSH2019" s="35"/>
      <c r="KSI2019" s="35"/>
      <c r="LCD2019" s="35"/>
      <c r="LCE2019" s="35"/>
      <c r="LLZ2019" s="35"/>
      <c r="LMA2019" s="35"/>
      <c r="LVV2019" s="35"/>
      <c r="LVW2019" s="35"/>
      <c r="MFR2019" s="35"/>
      <c r="MFS2019" s="35"/>
      <c r="MPN2019" s="35"/>
      <c r="MPO2019" s="35"/>
      <c r="MZJ2019" s="35"/>
      <c r="MZK2019" s="35"/>
      <c r="NJF2019" s="35"/>
      <c r="NJG2019" s="35"/>
      <c r="NTB2019" s="35"/>
      <c r="NTC2019" s="35"/>
      <c r="OCX2019" s="35"/>
      <c r="OCY2019" s="35"/>
      <c r="OMT2019" s="35"/>
      <c r="OMU2019" s="35"/>
      <c r="OWP2019" s="35"/>
      <c r="OWQ2019" s="35"/>
      <c r="PGL2019" s="35"/>
      <c r="PGM2019" s="35"/>
      <c r="PQH2019" s="35"/>
      <c r="PQI2019" s="35"/>
      <c r="QAD2019" s="35"/>
      <c r="QAE2019" s="35"/>
      <c r="QJZ2019" s="35"/>
      <c r="QKA2019" s="35"/>
      <c r="QTV2019" s="35"/>
      <c r="QTW2019" s="35"/>
      <c r="RDR2019" s="35"/>
      <c r="RDS2019" s="35"/>
      <c r="RNN2019" s="35"/>
      <c r="RNO2019" s="35"/>
      <c r="RXJ2019" s="35"/>
      <c r="RXK2019" s="35"/>
      <c r="SHF2019" s="35"/>
      <c r="SHG2019" s="35"/>
      <c r="SRB2019" s="35"/>
      <c r="SRC2019" s="35"/>
      <c r="TAX2019" s="35"/>
      <c r="TAY2019" s="35"/>
      <c r="TKT2019" s="35"/>
      <c r="TKU2019" s="35"/>
      <c r="TUP2019" s="35"/>
      <c r="TUQ2019" s="35"/>
      <c r="UEL2019" s="35"/>
      <c r="UEM2019" s="35"/>
      <c r="UOH2019" s="35"/>
      <c r="UOI2019" s="35"/>
      <c r="UYD2019" s="35"/>
      <c r="UYE2019" s="35"/>
      <c r="VHZ2019" s="35"/>
      <c r="VIA2019" s="35"/>
      <c r="VRV2019" s="35"/>
      <c r="VRW2019" s="35"/>
      <c r="WBR2019" s="35"/>
      <c r="WBS2019" s="35"/>
      <c r="WLN2019" s="35"/>
      <c r="WLO2019" s="35"/>
      <c r="WVJ2019" s="35"/>
      <c r="WVK2019" s="35"/>
    </row>
    <row r="2020" spans="1:771 1026:1795 2050:2819 3074:3843 4098:4867 5122:5891 6146:6915 7170:7939 8194:8963 9218:9987 10242:11011 11266:12035 12290:13059 13314:14083 14338:15107 15362:16131" s="35" customFormat="1" ht="55.2" x14ac:dyDescent="0.3">
      <c r="A2020" s="28">
        <v>188</v>
      </c>
      <c r="B2020" s="29" t="s">
        <v>1548</v>
      </c>
      <c r="C2020" s="30" t="s">
        <v>1552</v>
      </c>
      <c r="D2020" s="31" t="s">
        <v>13</v>
      </c>
      <c r="E2020" s="32">
        <v>13.4</v>
      </c>
      <c r="F2020" s="33"/>
      <c r="G2020" s="33"/>
      <c r="H2020" s="34" t="s">
        <v>1553</v>
      </c>
    </row>
    <row r="2021" spans="1:771 1026:1795 2050:2819 3074:3843 4098:4867 5122:5891 6146:6915 7170:7939 8194:8963 9218:9987 10242:11011 11266:12035 12290:13059 13314:14083 14338:15107 15362:16131" s="35" customFormat="1" x14ac:dyDescent="0.3">
      <c r="A2021" s="36"/>
      <c r="B2021" s="72" t="s">
        <v>1549</v>
      </c>
      <c r="C2021" s="38" t="s">
        <v>14</v>
      </c>
      <c r="D2021" s="39"/>
      <c r="E2021" s="44"/>
      <c r="F2021" s="40"/>
      <c r="G2021" s="41">
        <f>SUM(G2022)</f>
        <v>261018600</v>
      </c>
      <c r="H2021" s="42"/>
    </row>
    <row r="2022" spans="1:771 1026:1795 2050:2819 3074:3843 4098:4867 5122:5891 6146:6915 7170:7939 8194:8963 9218:9987 10242:11011 11266:12035 12290:13059 13314:14083 14338:15107 15362:16131" s="35" customFormat="1" ht="78" x14ac:dyDescent="0.3">
      <c r="A2022" s="36"/>
      <c r="B2022" s="72" t="s">
        <v>1550</v>
      </c>
      <c r="C2022" s="48" t="s">
        <v>38</v>
      </c>
      <c r="D2022" s="39" t="s">
        <v>13</v>
      </c>
      <c r="E2022" s="44">
        <v>13.4</v>
      </c>
      <c r="F2022" s="161">
        <v>19479000</v>
      </c>
      <c r="G2022" s="40">
        <f>E2022*F2022</f>
        <v>261018600</v>
      </c>
      <c r="H2022" s="42"/>
    </row>
    <row r="2023" spans="1:771 1026:1795 2050:2819 3074:3843 4098:4867 5122:5891 6146:6915 7170:7939 8194:8963 9218:9987 10242:11011 11266:12035 12290:13059 13314:14083 14338:15107 15362:16131" s="35" customFormat="1" x14ac:dyDescent="0.3">
      <c r="A2023" s="36"/>
      <c r="B2023" s="72" t="s">
        <v>1551</v>
      </c>
      <c r="C2023" s="47" t="s">
        <v>35</v>
      </c>
      <c r="D2023" s="39"/>
      <c r="E2023" s="73"/>
      <c r="F2023" s="40"/>
      <c r="G2023" s="41">
        <f>SUM(G2024:G2026)</f>
        <v>9339576</v>
      </c>
      <c r="H2023" s="45"/>
    </row>
    <row r="2024" spans="1:771 1026:1795 2050:2819 3074:3843 4098:4867 5122:5891 6146:6915 7170:7939 8194:8963 9218:9987 10242:11011 11266:12035 12290:13059 13314:14083 14338:15107 15362:16131" s="35" customFormat="1" ht="82.8" x14ac:dyDescent="0.3">
      <c r="A2024" s="36"/>
      <c r="B2024" s="72"/>
      <c r="C2024" s="101" t="s">
        <v>1554</v>
      </c>
      <c r="D2024" s="39" t="s">
        <v>13</v>
      </c>
      <c r="E2024" s="73">
        <v>1.32</v>
      </c>
      <c r="F2024" s="74">
        <f>3592000*40%</f>
        <v>1436800</v>
      </c>
      <c r="G2024" s="40">
        <f>E2024*F2024</f>
        <v>1896576</v>
      </c>
      <c r="H2024" s="45" t="s">
        <v>2539</v>
      </c>
    </row>
    <row r="2025" spans="1:771 1026:1795 2050:2819 3074:3843 4098:4867 5122:5891 6146:6915 7170:7939 8194:8963 9218:9987 10242:11011 11266:12035 12290:13059 13314:14083 14338:15107 15362:16131" s="35" customFormat="1" ht="46.8" x14ac:dyDescent="0.3">
      <c r="A2025" s="36"/>
      <c r="B2025" s="72"/>
      <c r="C2025" s="66" t="s">
        <v>1555</v>
      </c>
      <c r="D2025" s="39" t="s">
        <v>13</v>
      </c>
      <c r="E2025" s="73">
        <v>21.9</v>
      </c>
      <c r="F2025" s="74">
        <f>789000*40%</f>
        <v>315600</v>
      </c>
      <c r="G2025" s="40">
        <f>E2025*F2025</f>
        <v>6911640</v>
      </c>
      <c r="H2025" s="45" t="s">
        <v>2374</v>
      </c>
    </row>
    <row r="2026" spans="1:771 1026:1795 2050:2819 3074:3843 4098:4867 5122:5891 6146:6915 7170:7939 8194:8963 9218:9987 10242:11011 11266:12035 12290:13059 13314:14083 14338:15107 15362:16131" s="35" customFormat="1" ht="18.600000000000001" x14ac:dyDescent="0.3">
      <c r="A2026" s="36"/>
      <c r="B2026" s="72"/>
      <c r="C2026" s="66" t="s">
        <v>18</v>
      </c>
      <c r="D2026" s="39" t="s">
        <v>13</v>
      </c>
      <c r="E2026" s="73">
        <f>1.8*7.2</f>
        <v>12.96</v>
      </c>
      <c r="F2026" s="40">
        <v>41000</v>
      </c>
      <c r="G2026" s="40">
        <f>E2026*F2026</f>
        <v>531360</v>
      </c>
      <c r="H2026" s="45"/>
    </row>
    <row r="2027" spans="1:771 1026:1795 2050:2819 3074:3843 4098:4867 5122:5891 6146:6915 7170:7939 8194:8963 9218:9987 10242:11011 11266:12035 12290:13059 13314:14083 14338:15107 15362:16131" s="35" customFormat="1" ht="65.400000000000006" thickBot="1" x14ac:dyDescent="0.35">
      <c r="A2027" s="53"/>
      <c r="B2027" s="54"/>
      <c r="C2027" s="55" t="s">
        <v>2331</v>
      </c>
      <c r="D2027" s="56"/>
      <c r="E2027" s="5"/>
      <c r="F2027" s="6"/>
      <c r="G2027" s="57"/>
      <c r="H2027" s="58"/>
    </row>
    <row r="2028" spans="1:771 1026:1795 2050:2819 3074:3843 4098:4867 5122:5891 6146:6915 7170:7939 8194:8963 9218:9987 10242:11011 11266:12035 12290:13059 13314:14083 14338:15107 15362:16131" s="59" customFormat="1" ht="31.8" thickBot="1" x14ac:dyDescent="0.35">
      <c r="A2028" s="154"/>
      <c r="B2028" s="155" t="s">
        <v>26</v>
      </c>
      <c r="C2028" s="156"/>
      <c r="D2028" s="154"/>
      <c r="E2028" s="157"/>
      <c r="F2028" s="158"/>
      <c r="G2028" s="159">
        <f>SUM(G2020:G2027)/2</f>
        <v>270358176</v>
      </c>
      <c r="H2028" s="160"/>
      <c r="IX2028" s="35"/>
      <c r="IY2028" s="35"/>
      <c r="ST2028" s="35"/>
      <c r="SU2028" s="35"/>
      <c r="ACP2028" s="35"/>
      <c r="ACQ2028" s="35"/>
      <c r="AML2028" s="35"/>
      <c r="AMM2028" s="35"/>
      <c r="AWH2028" s="35"/>
      <c r="AWI2028" s="35"/>
      <c r="BGD2028" s="35"/>
      <c r="BGE2028" s="35"/>
      <c r="BPZ2028" s="35"/>
      <c r="BQA2028" s="35"/>
      <c r="BZV2028" s="35"/>
      <c r="BZW2028" s="35"/>
      <c r="CJR2028" s="35"/>
      <c r="CJS2028" s="35"/>
      <c r="CTN2028" s="35"/>
      <c r="CTO2028" s="35"/>
      <c r="DDJ2028" s="35"/>
      <c r="DDK2028" s="35"/>
      <c r="DNF2028" s="35"/>
      <c r="DNG2028" s="35"/>
      <c r="DXB2028" s="35"/>
      <c r="DXC2028" s="35"/>
      <c r="EGX2028" s="35"/>
      <c r="EGY2028" s="35"/>
      <c r="EQT2028" s="35"/>
      <c r="EQU2028" s="35"/>
      <c r="FAP2028" s="35"/>
      <c r="FAQ2028" s="35"/>
      <c r="FKL2028" s="35"/>
      <c r="FKM2028" s="35"/>
      <c r="FUH2028" s="35"/>
      <c r="FUI2028" s="35"/>
      <c r="GED2028" s="35"/>
      <c r="GEE2028" s="35"/>
      <c r="GNZ2028" s="35"/>
      <c r="GOA2028" s="35"/>
      <c r="GXV2028" s="35"/>
      <c r="GXW2028" s="35"/>
      <c r="HHR2028" s="35"/>
      <c r="HHS2028" s="35"/>
      <c r="HRN2028" s="35"/>
      <c r="HRO2028" s="35"/>
      <c r="IBJ2028" s="35"/>
      <c r="IBK2028" s="35"/>
      <c r="ILF2028" s="35"/>
      <c r="ILG2028" s="35"/>
      <c r="IVB2028" s="35"/>
      <c r="IVC2028" s="35"/>
      <c r="JEX2028" s="35"/>
      <c r="JEY2028" s="35"/>
      <c r="JOT2028" s="35"/>
      <c r="JOU2028" s="35"/>
      <c r="JYP2028" s="35"/>
      <c r="JYQ2028" s="35"/>
      <c r="KIL2028" s="35"/>
      <c r="KIM2028" s="35"/>
      <c r="KSH2028" s="35"/>
      <c r="KSI2028" s="35"/>
      <c r="LCD2028" s="35"/>
      <c r="LCE2028" s="35"/>
      <c r="LLZ2028" s="35"/>
      <c r="LMA2028" s="35"/>
      <c r="LVV2028" s="35"/>
      <c r="LVW2028" s="35"/>
      <c r="MFR2028" s="35"/>
      <c r="MFS2028" s="35"/>
      <c r="MPN2028" s="35"/>
      <c r="MPO2028" s="35"/>
      <c r="MZJ2028" s="35"/>
      <c r="MZK2028" s="35"/>
      <c r="NJF2028" s="35"/>
      <c r="NJG2028" s="35"/>
      <c r="NTB2028" s="35"/>
      <c r="NTC2028" s="35"/>
      <c r="OCX2028" s="35"/>
      <c r="OCY2028" s="35"/>
      <c r="OMT2028" s="35"/>
      <c r="OMU2028" s="35"/>
      <c r="OWP2028" s="35"/>
      <c r="OWQ2028" s="35"/>
      <c r="PGL2028" s="35"/>
      <c r="PGM2028" s="35"/>
      <c r="PQH2028" s="35"/>
      <c r="PQI2028" s="35"/>
      <c r="QAD2028" s="35"/>
      <c r="QAE2028" s="35"/>
      <c r="QJZ2028" s="35"/>
      <c r="QKA2028" s="35"/>
      <c r="QTV2028" s="35"/>
      <c r="QTW2028" s="35"/>
      <c r="RDR2028" s="35"/>
      <c r="RDS2028" s="35"/>
      <c r="RNN2028" s="35"/>
      <c r="RNO2028" s="35"/>
      <c r="RXJ2028" s="35"/>
      <c r="RXK2028" s="35"/>
      <c r="SHF2028" s="35"/>
      <c r="SHG2028" s="35"/>
      <c r="SRB2028" s="35"/>
      <c r="SRC2028" s="35"/>
      <c r="TAX2028" s="35"/>
      <c r="TAY2028" s="35"/>
      <c r="TKT2028" s="35"/>
      <c r="TKU2028" s="35"/>
      <c r="TUP2028" s="35"/>
      <c r="TUQ2028" s="35"/>
      <c r="UEL2028" s="35"/>
      <c r="UEM2028" s="35"/>
      <c r="UOH2028" s="35"/>
      <c r="UOI2028" s="35"/>
      <c r="UYD2028" s="35"/>
      <c r="UYE2028" s="35"/>
      <c r="VHZ2028" s="35"/>
      <c r="VIA2028" s="35"/>
      <c r="VRV2028" s="35"/>
      <c r="VRW2028" s="35"/>
      <c r="WBR2028" s="35"/>
      <c r="WBS2028" s="35"/>
      <c r="WLN2028" s="35"/>
      <c r="WLO2028" s="35"/>
      <c r="WVJ2028" s="35"/>
      <c r="WVK2028" s="35"/>
    </row>
    <row r="2029" spans="1:771 1026:1795 2050:2819 3074:3843 4098:4867 5122:5891 6146:6915 7170:7939 8194:8963 9218:9987 10242:11011 11266:12035 12290:13059 13314:14083 14338:15107 15362:16131" s="35" customFormat="1" ht="55.2" x14ac:dyDescent="0.3">
      <c r="A2029" s="28">
        <v>189</v>
      </c>
      <c r="B2029" s="29" t="s">
        <v>1559</v>
      </c>
      <c r="C2029" s="30" t="s">
        <v>1560</v>
      </c>
      <c r="D2029" s="31" t="s">
        <v>13</v>
      </c>
      <c r="E2029" s="32">
        <v>28.9</v>
      </c>
      <c r="F2029" s="33"/>
      <c r="G2029" s="33"/>
      <c r="H2029" s="34" t="s">
        <v>1561</v>
      </c>
    </row>
    <row r="2030" spans="1:771 1026:1795 2050:2819 3074:3843 4098:4867 5122:5891 6146:6915 7170:7939 8194:8963 9218:9987 10242:11011 11266:12035 12290:13059 13314:14083 14338:15107 15362:16131" s="35" customFormat="1" x14ac:dyDescent="0.3">
      <c r="A2030" s="36"/>
      <c r="B2030" s="72" t="s">
        <v>1556</v>
      </c>
      <c r="C2030" s="38" t="s">
        <v>14</v>
      </c>
      <c r="D2030" s="39"/>
      <c r="E2030" s="44"/>
      <c r="F2030" s="40"/>
      <c r="G2030" s="41">
        <f>SUM(G2031)</f>
        <v>300675600</v>
      </c>
      <c r="H2030" s="42"/>
    </row>
    <row r="2031" spans="1:771 1026:1795 2050:2819 3074:3843 4098:4867 5122:5891 6146:6915 7170:7939 8194:8963 9218:9987 10242:11011 11266:12035 12290:13059 13314:14083 14338:15107 15362:16131" s="35" customFormat="1" ht="78" x14ac:dyDescent="0.3">
      <c r="A2031" s="36"/>
      <c r="B2031" s="72" t="s">
        <v>1557</v>
      </c>
      <c r="C2031" s="43" t="s">
        <v>55</v>
      </c>
      <c r="D2031" s="39" t="s">
        <v>13</v>
      </c>
      <c r="E2031" s="44">
        <v>28.9</v>
      </c>
      <c r="F2031" s="153">
        <v>10404000</v>
      </c>
      <c r="G2031" s="40">
        <f>E2031*F2031</f>
        <v>300675600</v>
      </c>
      <c r="H2031" s="42"/>
    </row>
    <row r="2032" spans="1:771 1026:1795 2050:2819 3074:3843 4098:4867 5122:5891 6146:6915 7170:7939 8194:8963 9218:9987 10242:11011 11266:12035 12290:13059 13314:14083 14338:15107 15362:16131" s="35" customFormat="1" x14ac:dyDescent="0.3">
      <c r="A2032" s="36"/>
      <c r="B2032" s="72" t="s">
        <v>1558</v>
      </c>
      <c r="C2032" s="47" t="s">
        <v>35</v>
      </c>
      <c r="D2032" s="39"/>
      <c r="E2032" s="73"/>
      <c r="F2032" s="40"/>
      <c r="G2032" s="41">
        <f>SUM(G2033:G2035)</f>
        <v>0</v>
      </c>
      <c r="H2032" s="45"/>
    </row>
    <row r="2033" spans="1:771 1026:1795 2050:2819 3074:3843 4098:4867 5122:5891 6146:6915 7170:7939 8194:8963 9218:9987 10242:11011 11266:12035 12290:13059 13314:14083 14338:15107 15362:16131" s="35" customFormat="1" ht="82.8" x14ac:dyDescent="0.3">
      <c r="A2033" s="36"/>
      <c r="B2033" s="72"/>
      <c r="C2033" s="101" t="s">
        <v>1562</v>
      </c>
      <c r="D2033" s="39" t="s">
        <v>13</v>
      </c>
      <c r="E2033" s="73">
        <v>2.34</v>
      </c>
      <c r="F2033" s="74"/>
      <c r="G2033" s="40">
        <f>E2033*F2033</f>
        <v>0</v>
      </c>
      <c r="H2033" s="45" t="s">
        <v>2540</v>
      </c>
    </row>
    <row r="2034" spans="1:771 1026:1795 2050:2819 3074:3843 4098:4867 5122:5891 6146:6915 7170:7939 8194:8963 9218:9987 10242:11011 11266:12035 12290:13059 13314:14083 14338:15107 15362:16131" s="35" customFormat="1" x14ac:dyDescent="0.3">
      <c r="A2034" s="36"/>
      <c r="B2034" s="72"/>
      <c r="C2034" s="66" t="s">
        <v>105</v>
      </c>
      <c r="D2034" s="39" t="s">
        <v>106</v>
      </c>
      <c r="E2034" s="73">
        <v>1</v>
      </c>
      <c r="F2034" s="74"/>
      <c r="G2034" s="40">
        <f>E2034*F2034</f>
        <v>0</v>
      </c>
      <c r="H2034" s="52" t="s">
        <v>2353</v>
      </c>
    </row>
    <row r="2035" spans="1:771 1026:1795 2050:2819 3074:3843 4098:4867 5122:5891 6146:6915 7170:7939 8194:8963 9218:9987 10242:11011 11266:12035 12290:13059 13314:14083 14338:15107 15362:16131" s="35" customFormat="1" ht="46.8" x14ac:dyDescent="0.3">
      <c r="A2035" s="36"/>
      <c r="B2035" s="72"/>
      <c r="C2035" s="66" t="s">
        <v>1563</v>
      </c>
      <c r="D2035" s="39" t="s">
        <v>13</v>
      </c>
      <c r="E2035" s="73">
        <v>20.8</v>
      </c>
      <c r="F2035" s="74"/>
      <c r="G2035" s="40">
        <f>E2035*F2035</f>
        <v>0</v>
      </c>
      <c r="H2035" s="45" t="s">
        <v>2541</v>
      </c>
    </row>
    <row r="2036" spans="1:771 1026:1795 2050:2819 3074:3843 4098:4867 5122:5891 6146:6915 7170:7939 8194:8963 9218:9987 10242:11011 11266:12035 12290:13059 13314:14083 14338:15107 15362:16131" s="109" customFormat="1" x14ac:dyDescent="0.3">
      <c r="A2036" s="36"/>
      <c r="B2036" s="64"/>
      <c r="C2036" s="51" t="s">
        <v>20</v>
      </c>
      <c r="D2036" s="36"/>
      <c r="E2036" s="107"/>
      <c r="F2036" s="41"/>
      <c r="G2036" s="41">
        <f>SUM(G2037)</f>
        <v>800000</v>
      </c>
      <c r="H2036" s="108"/>
    </row>
    <row r="2037" spans="1:771 1026:1795 2050:2819 3074:3843 4098:4867 5122:5891 6146:6915 7170:7939 8194:8963 9218:9987 10242:11011 11266:12035 12290:13059 13314:14083 14338:15107 15362:16131" s="77" customFormat="1" x14ac:dyDescent="0.3">
      <c r="A2037" s="36"/>
      <c r="B2037" s="37"/>
      <c r="C2037" s="75" t="s">
        <v>1564</v>
      </c>
      <c r="D2037" s="76" t="s">
        <v>21</v>
      </c>
      <c r="E2037" s="73">
        <v>1</v>
      </c>
      <c r="F2037" s="74">
        <v>800000</v>
      </c>
      <c r="G2037" s="40">
        <f>E2037*F2037</f>
        <v>800000</v>
      </c>
      <c r="H2037" s="52"/>
    </row>
    <row r="2038" spans="1:771 1026:1795 2050:2819 3074:3843 4098:4867 5122:5891 6146:6915 7170:7939 8194:8963 9218:9987 10242:11011 11266:12035 12290:13059 13314:14083 14338:15107 15362:16131" s="35" customFormat="1" x14ac:dyDescent="0.3">
      <c r="A2038" s="36"/>
      <c r="B2038" s="46"/>
      <c r="C2038" s="51" t="s">
        <v>23</v>
      </c>
      <c r="D2038" s="39"/>
      <c r="E2038" s="1"/>
      <c r="F2038" s="2"/>
      <c r="G2038" s="41">
        <f>SUM(G2039)</f>
        <v>6120000</v>
      </c>
      <c r="H2038" s="52"/>
    </row>
    <row r="2039" spans="1:771 1026:1795 2050:2819 3074:3843 4098:4867 5122:5891 6146:6915 7170:7939 8194:8963 9218:9987 10242:11011 11266:12035 12290:13059 13314:14083 14338:15107 15362:16131" s="35" customFormat="1" x14ac:dyDescent="0.3">
      <c r="A2039" s="36"/>
      <c r="B2039" s="46"/>
      <c r="C2039" s="50" t="s">
        <v>24</v>
      </c>
      <c r="D2039" s="39" t="s">
        <v>25</v>
      </c>
      <c r="E2039" s="1">
        <f>2*30*6</f>
        <v>360</v>
      </c>
      <c r="F2039" s="2">
        <v>17000</v>
      </c>
      <c r="G2039" s="40">
        <f>E2039*F2039</f>
        <v>6120000</v>
      </c>
      <c r="H2039" s="42"/>
    </row>
    <row r="2040" spans="1:771 1026:1795 2050:2819 3074:3843 4098:4867 5122:5891 6146:6915 7170:7939 8194:8963 9218:9987 10242:11011 11266:12035 12290:13059 13314:14083 14338:15107 15362:16131" s="35" customFormat="1" ht="65.400000000000006" thickBot="1" x14ac:dyDescent="0.35">
      <c r="A2040" s="53"/>
      <c r="B2040" s="54"/>
      <c r="C2040" s="55" t="s">
        <v>2331</v>
      </c>
      <c r="D2040" s="56"/>
      <c r="E2040" s="5"/>
      <c r="F2040" s="6"/>
      <c r="G2040" s="57"/>
      <c r="H2040" s="58"/>
    </row>
    <row r="2041" spans="1:771 1026:1795 2050:2819 3074:3843 4098:4867 5122:5891 6146:6915 7170:7939 8194:8963 9218:9987 10242:11011 11266:12035 12290:13059 13314:14083 14338:15107 15362:16131" s="59" customFormat="1" ht="31.8" thickBot="1" x14ac:dyDescent="0.35">
      <c r="A2041" s="154"/>
      <c r="B2041" s="155" t="s">
        <v>26</v>
      </c>
      <c r="C2041" s="156"/>
      <c r="D2041" s="154"/>
      <c r="E2041" s="157"/>
      <c r="F2041" s="158"/>
      <c r="G2041" s="159">
        <f>SUM(G2029:G2040)/2</f>
        <v>307595600</v>
      </c>
      <c r="H2041" s="160"/>
      <c r="IX2041" s="35"/>
      <c r="IY2041" s="35"/>
      <c r="ST2041" s="35"/>
      <c r="SU2041" s="35"/>
      <c r="ACP2041" s="35"/>
      <c r="ACQ2041" s="35"/>
      <c r="AML2041" s="35"/>
      <c r="AMM2041" s="35"/>
      <c r="AWH2041" s="35"/>
      <c r="AWI2041" s="35"/>
      <c r="BGD2041" s="35"/>
      <c r="BGE2041" s="35"/>
      <c r="BPZ2041" s="35"/>
      <c r="BQA2041" s="35"/>
      <c r="BZV2041" s="35"/>
      <c r="BZW2041" s="35"/>
      <c r="CJR2041" s="35"/>
      <c r="CJS2041" s="35"/>
      <c r="CTN2041" s="35"/>
      <c r="CTO2041" s="35"/>
      <c r="DDJ2041" s="35"/>
      <c r="DDK2041" s="35"/>
      <c r="DNF2041" s="35"/>
      <c r="DNG2041" s="35"/>
      <c r="DXB2041" s="35"/>
      <c r="DXC2041" s="35"/>
      <c r="EGX2041" s="35"/>
      <c r="EGY2041" s="35"/>
      <c r="EQT2041" s="35"/>
      <c r="EQU2041" s="35"/>
      <c r="FAP2041" s="35"/>
      <c r="FAQ2041" s="35"/>
      <c r="FKL2041" s="35"/>
      <c r="FKM2041" s="35"/>
      <c r="FUH2041" s="35"/>
      <c r="FUI2041" s="35"/>
      <c r="GED2041" s="35"/>
      <c r="GEE2041" s="35"/>
      <c r="GNZ2041" s="35"/>
      <c r="GOA2041" s="35"/>
      <c r="GXV2041" s="35"/>
      <c r="GXW2041" s="35"/>
      <c r="HHR2041" s="35"/>
      <c r="HHS2041" s="35"/>
      <c r="HRN2041" s="35"/>
      <c r="HRO2041" s="35"/>
      <c r="IBJ2041" s="35"/>
      <c r="IBK2041" s="35"/>
      <c r="ILF2041" s="35"/>
      <c r="ILG2041" s="35"/>
      <c r="IVB2041" s="35"/>
      <c r="IVC2041" s="35"/>
      <c r="JEX2041" s="35"/>
      <c r="JEY2041" s="35"/>
      <c r="JOT2041" s="35"/>
      <c r="JOU2041" s="35"/>
      <c r="JYP2041" s="35"/>
      <c r="JYQ2041" s="35"/>
      <c r="KIL2041" s="35"/>
      <c r="KIM2041" s="35"/>
      <c r="KSH2041" s="35"/>
      <c r="KSI2041" s="35"/>
      <c r="LCD2041" s="35"/>
      <c r="LCE2041" s="35"/>
      <c r="LLZ2041" s="35"/>
      <c r="LMA2041" s="35"/>
      <c r="LVV2041" s="35"/>
      <c r="LVW2041" s="35"/>
      <c r="MFR2041" s="35"/>
      <c r="MFS2041" s="35"/>
      <c r="MPN2041" s="35"/>
      <c r="MPO2041" s="35"/>
      <c r="MZJ2041" s="35"/>
      <c r="MZK2041" s="35"/>
      <c r="NJF2041" s="35"/>
      <c r="NJG2041" s="35"/>
      <c r="NTB2041" s="35"/>
      <c r="NTC2041" s="35"/>
      <c r="OCX2041" s="35"/>
      <c r="OCY2041" s="35"/>
      <c r="OMT2041" s="35"/>
      <c r="OMU2041" s="35"/>
      <c r="OWP2041" s="35"/>
      <c r="OWQ2041" s="35"/>
      <c r="PGL2041" s="35"/>
      <c r="PGM2041" s="35"/>
      <c r="PQH2041" s="35"/>
      <c r="PQI2041" s="35"/>
      <c r="QAD2041" s="35"/>
      <c r="QAE2041" s="35"/>
      <c r="QJZ2041" s="35"/>
      <c r="QKA2041" s="35"/>
      <c r="QTV2041" s="35"/>
      <c r="QTW2041" s="35"/>
      <c r="RDR2041" s="35"/>
      <c r="RDS2041" s="35"/>
      <c r="RNN2041" s="35"/>
      <c r="RNO2041" s="35"/>
      <c r="RXJ2041" s="35"/>
      <c r="RXK2041" s="35"/>
      <c r="SHF2041" s="35"/>
      <c r="SHG2041" s="35"/>
      <c r="SRB2041" s="35"/>
      <c r="SRC2041" s="35"/>
      <c r="TAX2041" s="35"/>
      <c r="TAY2041" s="35"/>
      <c r="TKT2041" s="35"/>
      <c r="TKU2041" s="35"/>
      <c r="TUP2041" s="35"/>
      <c r="TUQ2041" s="35"/>
      <c r="UEL2041" s="35"/>
      <c r="UEM2041" s="35"/>
      <c r="UOH2041" s="35"/>
      <c r="UOI2041" s="35"/>
      <c r="UYD2041" s="35"/>
      <c r="UYE2041" s="35"/>
      <c r="VHZ2041" s="35"/>
      <c r="VIA2041" s="35"/>
      <c r="VRV2041" s="35"/>
      <c r="VRW2041" s="35"/>
      <c r="WBR2041" s="35"/>
      <c r="WBS2041" s="35"/>
      <c r="WLN2041" s="35"/>
      <c r="WLO2041" s="35"/>
      <c r="WVJ2041" s="35"/>
      <c r="WVK2041" s="35"/>
    </row>
    <row r="2042" spans="1:771 1026:1795 2050:2819 3074:3843 4098:4867 5122:5891 6146:6915 7170:7939 8194:8963 9218:9987 10242:11011 11266:12035 12290:13059 13314:14083 14338:15107 15362:16131" s="35" customFormat="1" ht="55.2" x14ac:dyDescent="0.3">
      <c r="A2042" s="28">
        <v>190</v>
      </c>
      <c r="B2042" s="29" t="s">
        <v>1570</v>
      </c>
      <c r="C2042" s="30" t="s">
        <v>1568</v>
      </c>
      <c r="D2042" s="31" t="s">
        <v>13</v>
      </c>
      <c r="E2042" s="32">
        <v>12.7</v>
      </c>
      <c r="F2042" s="33"/>
      <c r="G2042" s="33"/>
      <c r="H2042" s="34" t="s">
        <v>1569</v>
      </c>
    </row>
    <row r="2043" spans="1:771 1026:1795 2050:2819 3074:3843 4098:4867 5122:5891 6146:6915 7170:7939 8194:8963 9218:9987 10242:11011 11266:12035 12290:13059 13314:14083 14338:15107 15362:16131" s="35" customFormat="1" x14ac:dyDescent="0.3">
      <c r="A2043" s="36"/>
      <c r="B2043" s="72" t="s">
        <v>1565</v>
      </c>
      <c r="C2043" s="38" t="s">
        <v>14</v>
      </c>
      <c r="D2043" s="39"/>
      <c r="E2043" s="44"/>
      <c r="F2043" s="40"/>
      <c r="G2043" s="41">
        <f>SUM(G2044)</f>
        <v>247383300</v>
      </c>
      <c r="H2043" s="42"/>
    </row>
    <row r="2044" spans="1:771 1026:1795 2050:2819 3074:3843 4098:4867 5122:5891 6146:6915 7170:7939 8194:8963 9218:9987 10242:11011 11266:12035 12290:13059 13314:14083 14338:15107 15362:16131" s="35" customFormat="1" ht="62.4" x14ac:dyDescent="0.3">
      <c r="A2044" s="36"/>
      <c r="B2044" s="72" t="s">
        <v>1566</v>
      </c>
      <c r="C2044" s="48" t="s">
        <v>38</v>
      </c>
      <c r="D2044" s="39" t="s">
        <v>13</v>
      </c>
      <c r="E2044" s="44">
        <v>12.7</v>
      </c>
      <c r="F2044" s="161">
        <v>19479000</v>
      </c>
      <c r="G2044" s="40">
        <f>E2044*F2044</f>
        <v>247383300</v>
      </c>
      <c r="H2044" s="42"/>
    </row>
    <row r="2045" spans="1:771 1026:1795 2050:2819 3074:3843 4098:4867 5122:5891 6146:6915 7170:7939 8194:8963 9218:9987 10242:11011 11266:12035 12290:13059 13314:14083 14338:15107 15362:16131" s="35" customFormat="1" x14ac:dyDescent="0.3">
      <c r="A2045" s="36"/>
      <c r="B2045" s="72" t="s">
        <v>1567</v>
      </c>
      <c r="C2045" s="47" t="s">
        <v>35</v>
      </c>
      <c r="D2045" s="39"/>
      <c r="E2045" s="73"/>
      <c r="F2045" s="40"/>
      <c r="G2045" s="41">
        <f>SUM(G2046:G2049)</f>
        <v>64216050</v>
      </c>
      <c r="H2045" s="45"/>
    </row>
    <row r="2046" spans="1:771 1026:1795 2050:2819 3074:3843 4098:4867 5122:5891 6146:6915 7170:7939 8194:8963 9218:9987 10242:11011 11266:12035 12290:13059 13314:14083 14338:15107 15362:16131" s="35" customFormat="1" ht="110.4" x14ac:dyDescent="0.3">
      <c r="A2046" s="36"/>
      <c r="B2046" s="72"/>
      <c r="C2046" s="101" t="s">
        <v>1571</v>
      </c>
      <c r="D2046" s="39" t="s">
        <v>13</v>
      </c>
      <c r="E2046" s="73">
        <v>13.63</v>
      </c>
      <c r="F2046" s="74">
        <v>3592000</v>
      </c>
      <c r="G2046" s="40">
        <f>E2046*F2046</f>
        <v>48958960</v>
      </c>
      <c r="H2046" s="45" t="s">
        <v>2542</v>
      </c>
    </row>
    <row r="2047" spans="1:771 1026:1795 2050:2819 3074:3843 4098:4867 5122:5891 6146:6915 7170:7939 8194:8963 9218:9987 10242:11011 11266:12035 12290:13059 13314:14083 14338:15107 15362:16131" s="35" customFormat="1" x14ac:dyDescent="0.3">
      <c r="A2047" s="36"/>
      <c r="B2047" s="72"/>
      <c r="C2047" s="66" t="s">
        <v>2190</v>
      </c>
      <c r="D2047" s="39" t="s">
        <v>234</v>
      </c>
      <c r="E2047" s="73">
        <v>30.11</v>
      </c>
      <c r="F2047" s="74">
        <v>391000</v>
      </c>
      <c r="G2047" s="40">
        <f>E2047*F2047</f>
        <v>11773010</v>
      </c>
      <c r="H2047" s="45"/>
    </row>
    <row r="2048" spans="1:771 1026:1795 2050:2819 3074:3843 4098:4867 5122:5891 6146:6915 7170:7939 8194:8963 9218:9987 10242:11011 11266:12035 12290:13059 13314:14083 14338:15107 15362:16131" s="35" customFormat="1" ht="46.8" x14ac:dyDescent="0.3">
      <c r="A2048" s="36"/>
      <c r="B2048" s="72"/>
      <c r="C2048" s="66" t="s">
        <v>1572</v>
      </c>
      <c r="D2048" s="39" t="s">
        <v>13</v>
      </c>
      <c r="E2048" s="73">
        <v>16.13</v>
      </c>
      <c r="F2048" s="74">
        <f>540000*40%</f>
        <v>216000</v>
      </c>
      <c r="G2048" s="40">
        <f>E2048*F2048</f>
        <v>3484080</v>
      </c>
      <c r="H2048" s="35" t="s">
        <v>2374</v>
      </c>
    </row>
    <row r="2049" spans="1:771 1026:1795 2050:2819 3074:3843 4098:4867 5122:5891 6146:6915 7170:7939 8194:8963 9218:9987 10242:11011 11266:12035 12290:13059 13314:14083 14338:15107 15362:16131" s="35" customFormat="1" ht="65.400000000000006" thickBot="1" x14ac:dyDescent="0.35">
      <c r="A2049" s="53"/>
      <c r="B2049" s="54"/>
      <c r="C2049" s="55" t="s">
        <v>2331</v>
      </c>
      <c r="D2049" s="56"/>
      <c r="E2049" s="5"/>
      <c r="F2049" s="6"/>
      <c r="G2049" s="57"/>
      <c r="H2049" s="58"/>
    </row>
    <row r="2050" spans="1:771 1026:1795 2050:2819 3074:3843 4098:4867 5122:5891 6146:6915 7170:7939 8194:8963 9218:9987 10242:11011 11266:12035 12290:13059 13314:14083 14338:15107 15362:16131" s="59" customFormat="1" ht="31.8" thickBot="1" x14ac:dyDescent="0.35">
      <c r="A2050" s="154"/>
      <c r="B2050" s="155" t="s">
        <v>26</v>
      </c>
      <c r="C2050" s="156"/>
      <c r="D2050" s="154"/>
      <c r="E2050" s="157"/>
      <c r="F2050" s="158"/>
      <c r="G2050" s="159">
        <f>SUM(G2042:G2049)/2</f>
        <v>311599350</v>
      </c>
      <c r="H2050" s="160"/>
      <c r="IX2050" s="35"/>
      <c r="IY2050" s="35"/>
      <c r="ST2050" s="35"/>
      <c r="SU2050" s="35"/>
      <c r="ACP2050" s="35"/>
      <c r="ACQ2050" s="35"/>
      <c r="AML2050" s="35"/>
      <c r="AMM2050" s="35"/>
      <c r="AWH2050" s="35"/>
      <c r="AWI2050" s="35"/>
      <c r="BGD2050" s="35"/>
      <c r="BGE2050" s="35"/>
      <c r="BPZ2050" s="35"/>
      <c r="BQA2050" s="35"/>
      <c r="BZV2050" s="35"/>
      <c r="BZW2050" s="35"/>
      <c r="CJR2050" s="35"/>
      <c r="CJS2050" s="35"/>
      <c r="CTN2050" s="35"/>
      <c r="CTO2050" s="35"/>
      <c r="DDJ2050" s="35"/>
      <c r="DDK2050" s="35"/>
      <c r="DNF2050" s="35"/>
      <c r="DNG2050" s="35"/>
      <c r="DXB2050" s="35"/>
      <c r="DXC2050" s="35"/>
      <c r="EGX2050" s="35"/>
      <c r="EGY2050" s="35"/>
      <c r="EQT2050" s="35"/>
      <c r="EQU2050" s="35"/>
      <c r="FAP2050" s="35"/>
      <c r="FAQ2050" s="35"/>
      <c r="FKL2050" s="35"/>
      <c r="FKM2050" s="35"/>
      <c r="FUH2050" s="35"/>
      <c r="FUI2050" s="35"/>
      <c r="GED2050" s="35"/>
      <c r="GEE2050" s="35"/>
      <c r="GNZ2050" s="35"/>
      <c r="GOA2050" s="35"/>
      <c r="GXV2050" s="35"/>
      <c r="GXW2050" s="35"/>
      <c r="HHR2050" s="35"/>
      <c r="HHS2050" s="35"/>
      <c r="HRN2050" s="35"/>
      <c r="HRO2050" s="35"/>
      <c r="IBJ2050" s="35"/>
      <c r="IBK2050" s="35"/>
      <c r="ILF2050" s="35"/>
      <c r="ILG2050" s="35"/>
      <c r="IVB2050" s="35"/>
      <c r="IVC2050" s="35"/>
      <c r="JEX2050" s="35"/>
      <c r="JEY2050" s="35"/>
      <c r="JOT2050" s="35"/>
      <c r="JOU2050" s="35"/>
      <c r="JYP2050" s="35"/>
      <c r="JYQ2050" s="35"/>
      <c r="KIL2050" s="35"/>
      <c r="KIM2050" s="35"/>
      <c r="KSH2050" s="35"/>
      <c r="KSI2050" s="35"/>
      <c r="LCD2050" s="35"/>
      <c r="LCE2050" s="35"/>
      <c r="LLZ2050" s="35"/>
      <c r="LMA2050" s="35"/>
      <c r="LVV2050" s="35"/>
      <c r="LVW2050" s="35"/>
      <c r="MFR2050" s="35"/>
      <c r="MFS2050" s="35"/>
      <c r="MPN2050" s="35"/>
      <c r="MPO2050" s="35"/>
      <c r="MZJ2050" s="35"/>
      <c r="MZK2050" s="35"/>
      <c r="NJF2050" s="35"/>
      <c r="NJG2050" s="35"/>
      <c r="NTB2050" s="35"/>
      <c r="NTC2050" s="35"/>
      <c r="OCX2050" s="35"/>
      <c r="OCY2050" s="35"/>
      <c r="OMT2050" s="35"/>
      <c r="OMU2050" s="35"/>
      <c r="OWP2050" s="35"/>
      <c r="OWQ2050" s="35"/>
      <c r="PGL2050" s="35"/>
      <c r="PGM2050" s="35"/>
      <c r="PQH2050" s="35"/>
      <c r="PQI2050" s="35"/>
      <c r="QAD2050" s="35"/>
      <c r="QAE2050" s="35"/>
      <c r="QJZ2050" s="35"/>
      <c r="QKA2050" s="35"/>
      <c r="QTV2050" s="35"/>
      <c r="QTW2050" s="35"/>
      <c r="RDR2050" s="35"/>
      <c r="RDS2050" s="35"/>
      <c r="RNN2050" s="35"/>
      <c r="RNO2050" s="35"/>
      <c r="RXJ2050" s="35"/>
      <c r="RXK2050" s="35"/>
      <c r="SHF2050" s="35"/>
      <c r="SHG2050" s="35"/>
      <c r="SRB2050" s="35"/>
      <c r="SRC2050" s="35"/>
      <c r="TAX2050" s="35"/>
      <c r="TAY2050" s="35"/>
      <c r="TKT2050" s="35"/>
      <c r="TKU2050" s="35"/>
      <c r="TUP2050" s="35"/>
      <c r="TUQ2050" s="35"/>
      <c r="UEL2050" s="35"/>
      <c r="UEM2050" s="35"/>
      <c r="UOH2050" s="35"/>
      <c r="UOI2050" s="35"/>
      <c r="UYD2050" s="35"/>
      <c r="UYE2050" s="35"/>
      <c r="VHZ2050" s="35"/>
      <c r="VIA2050" s="35"/>
      <c r="VRV2050" s="35"/>
      <c r="VRW2050" s="35"/>
      <c r="WBR2050" s="35"/>
      <c r="WBS2050" s="35"/>
      <c r="WLN2050" s="35"/>
      <c r="WLO2050" s="35"/>
      <c r="WVJ2050" s="35"/>
      <c r="WVK2050" s="35"/>
    </row>
    <row r="2051" spans="1:771 1026:1795 2050:2819 3074:3843 4098:4867 5122:5891 6146:6915 7170:7939 8194:8963 9218:9987 10242:11011 11266:12035 12290:13059 13314:14083 14338:15107 15362:16131" s="35" customFormat="1" ht="55.2" x14ac:dyDescent="0.3">
      <c r="A2051" s="28">
        <v>191</v>
      </c>
      <c r="B2051" s="29" t="s">
        <v>1573</v>
      </c>
      <c r="C2051" s="30" t="s">
        <v>1576</v>
      </c>
      <c r="D2051" s="31" t="s">
        <v>13</v>
      </c>
      <c r="E2051" s="32">
        <v>13.4</v>
      </c>
      <c r="F2051" s="33"/>
      <c r="G2051" s="33"/>
      <c r="H2051" s="34" t="s">
        <v>1577</v>
      </c>
    </row>
    <row r="2052" spans="1:771 1026:1795 2050:2819 3074:3843 4098:4867 5122:5891 6146:6915 7170:7939 8194:8963 9218:9987 10242:11011 11266:12035 12290:13059 13314:14083 14338:15107 15362:16131" s="35" customFormat="1" x14ac:dyDescent="0.3">
      <c r="A2052" s="36"/>
      <c r="B2052" s="72" t="s">
        <v>1574</v>
      </c>
      <c r="C2052" s="38" t="s">
        <v>14</v>
      </c>
      <c r="D2052" s="39"/>
      <c r="E2052" s="44"/>
      <c r="F2052" s="40"/>
      <c r="G2052" s="41">
        <f>SUM(G2053)</f>
        <v>261018600</v>
      </c>
      <c r="H2052" s="42"/>
    </row>
    <row r="2053" spans="1:771 1026:1795 2050:2819 3074:3843 4098:4867 5122:5891 6146:6915 7170:7939 8194:8963 9218:9987 10242:11011 11266:12035 12290:13059 13314:14083 14338:15107 15362:16131" s="35" customFormat="1" ht="78" x14ac:dyDescent="0.3">
      <c r="A2053" s="36"/>
      <c r="B2053" s="72" t="s">
        <v>1575</v>
      </c>
      <c r="C2053" s="48" t="s">
        <v>38</v>
      </c>
      <c r="D2053" s="39" t="s">
        <v>13</v>
      </c>
      <c r="E2053" s="44">
        <v>13.4</v>
      </c>
      <c r="F2053" s="161">
        <v>19479000</v>
      </c>
      <c r="G2053" s="40">
        <f>E2053*F2053</f>
        <v>261018600</v>
      </c>
      <c r="H2053" s="42"/>
    </row>
    <row r="2054" spans="1:771 1026:1795 2050:2819 3074:3843 4098:4867 5122:5891 6146:6915 7170:7939 8194:8963 9218:9987 10242:11011 11266:12035 12290:13059 13314:14083 14338:15107 15362:16131" s="35" customFormat="1" x14ac:dyDescent="0.3">
      <c r="A2054" s="36"/>
      <c r="B2054" s="38"/>
      <c r="C2054" s="47" t="s">
        <v>35</v>
      </c>
      <c r="D2054" s="39"/>
      <c r="E2054" s="73"/>
      <c r="F2054" s="40"/>
      <c r="G2054" s="41">
        <f>SUM(G2055:G2056)</f>
        <v>16918160</v>
      </c>
      <c r="H2054" s="45"/>
    </row>
    <row r="2055" spans="1:771 1026:1795 2050:2819 3074:3843 4098:4867 5122:5891 6146:6915 7170:7939 8194:8963 9218:9987 10242:11011 11266:12035 12290:13059 13314:14083 14338:15107 15362:16131" s="35" customFormat="1" ht="93.6" x14ac:dyDescent="0.3">
      <c r="A2055" s="36"/>
      <c r="B2055" s="72"/>
      <c r="C2055" s="66" t="s">
        <v>1578</v>
      </c>
      <c r="D2055" s="39" t="s">
        <v>13</v>
      </c>
      <c r="E2055" s="73">
        <f>1.7*4.4/2</f>
        <v>3.74</v>
      </c>
      <c r="F2055" s="74">
        <v>3592000</v>
      </c>
      <c r="G2055" s="40">
        <f>E2055*F2055</f>
        <v>13434080</v>
      </c>
      <c r="H2055" s="45" t="s">
        <v>2543</v>
      </c>
    </row>
    <row r="2056" spans="1:771 1026:1795 2050:2819 3074:3843 4098:4867 5122:5891 6146:6915 7170:7939 8194:8963 9218:9987 10242:11011 11266:12035 12290:13059 13314:14083 14338:15107 15362:16131" s="35" customFormat="1" ht="46.8" x14ac:dyDescent="0.3">
      <c r="A2056" s="36"/>
      <c r="B2056" s="72"/>
      <c r="C2056" s="66" t="s">
        <v>1572</v>
      </c>
      <c r="D2056" s="39" t="s">
        <v>13</v>
      </c>
      <c r="E2056" s="73">
        <v>16.13</v>
      </c>
      <c r="F2056" s="74">
        <f>540000*40%</f>
        <v>216000</v>
      </c>
      <c r="G2056" s="40">
        <f>E2056*F2056</f>
        <v>3484080</v>
      </c>
      <c r="H2056" s="35" t="s">
        <v>2374</v>
      </c>
    </row>
    <row r="2057" spans="1:771 1026:1795 2050:2819 3074:3843 4098:4867 5122:5891 6146:6915 7170:7939 8194:8963 9218:9987 10242:11011 11266:12035 12290:13059 13314:14083 14338:15107 15362:16131" s="35" customFormat="1" ht="65.400000000000006" thickBot="1" x14ac:dyDescent="0.35">
      <c r="A2057" s="53"/>
      <c r="B2057" s="54"/>
      <c r="C2057" s="55" t="s">
        <v>2331</v>
      </c>
      <c r="D2057" s="56"/>
      <c r="E2057" s="5"/>
      <c r="F2057" s="6"/>
      <c r="G2057" s="57"/>
      <c r="H2057" s="58"/>
    </row>
    <row r="2058" spans="1:771 1026:1795 2050:2819 3074:3843 4098:4867 5122:5891 6146:6915 7170:7939 8194:8963 9218:9987 10242:11011 11266:12035 12290:13059 13314:14083 14338:15107 15362:16131" s="59" customFormat="1" ht="31.8" thickBot="1" x14ac:dyDescent="0.35">
      <c r="A2058" s="154"/>
      <c r="B2058" s="155" t="s">
        <v>26</v>
      </c>
      <c r="C2058" s="156"/>
      <c r="D2058" s="154"/>
      <c r="E2058" s="157"/>
      <c r="F2058" s="158"/>
      <c r="G2058" s="159">
        <f>SUM(G2051:G2057)/2</f>
        <v>277936760</v>
      </c>
      <c r="H2058" s="160"/>
      <c r="IX2058" s="35"/>
      <c r="IY2058" s="35"/>
      <c r="ST2058" s="35"/>
      <c r="SU2058" s="35"/>
      <c r="ACP2058" s="35"/>
      <c r="ACQ2058" s="35"/>
      <c r="AML2058" s="35"/>
      <c r="AMM2058" s="35"/>
      <c r="AWH2058" s="35"/>
      <c r="AWI2058" s="35"/>
      <c r="BGD2058" s="35"/>
      <c r="BGE2058" s="35"/>
      <c r="BPZ2058" s="35"/>
      <c r="BQA2058" s="35"/>
      <c r="BZV2058" s="35"/>
      <c r="BZW2058" s="35"/>
      <c r="CJR2058" s="35"/>
      <c r="CJS2058" s="35"/>
      <c r="CTN2058" s="35"/>
      <c r="CTO2058" s="35"/>
      <c r="DDJ2058" s="35"/>
      <c r="DDK2058" s="35"/>
      <c r="DNF2058" s="35"/>
      <c r="DNG2058" s="35"/>
      <c r="DXB2058" s="35"/>
      <c r="DXC2058" s="35"/>
      <c r="EGX2058" s="35"/>
      <c r="EGY2058" s="35"/>
      <c r="EQT2058" s="35"/>
      <c r="EQU2058" s="35"/>
      <c r="FAP2058" s="35"/>
      <c r="FAQ2058" s="35"/>
      <c r="FKL2058" s="35"/>
      <c r="FKM2058" s="35"/>
      <c r="FUH2058" s="35"/>
      <c r="FUI2058" s="35"/>
      <c r="GED2058" s="35"/>
      <c r="GEE2058" s="35"/>
      <c r="GNZ2058" s="35"/>
      <c r="GOA2058" s="35"/>
      <c r="GXV2058" s="35"/>
      <c r="GXW2058" s="35"/>
      <c r="HHR2058" s="35"/>
      <c r="HHS2058" s="35"/>
      <c r="HRN2058" s="35"/>
      <c r="HRO2058" s="35"/>
      <c r="IBJ2058" s="35"/>
      <c r="IBK2058" s="35"/>
      <c r="ILF2058" s="35"/>
      <c r="ILG2058" s="35"/>
      <c r="IVB2058" s="35"/>
      <c r="IVC2058" s="35"/>
      <c r="JEX2058" s="35"/>
      <c r="JEY2058" s="35"/>
      <c r="JOT2058" s="35"/>
      <c r="JOU2058" s="35"/>
      <c r="JYP2058" s="35"/>
      <c r="JYQ2058" s="35"/>
      <c r="KIL2058" s="35"/>
      <c r="KIM2058" s="35"/>
      <c r="KSH2058" s="35"/>
      <c r="KSI2058" s="35"/>
      <c r="LCD2058" s="35"/>
      <c r="LCE2058" s="35"/>
      <c r="LLZ2058" s="35"/>
      <c r="LMA2058" s="35"/>
      <c r="LVV2058" s="35"/>
      <c r="LVW2058" s="35"/>
      <c r="MFR2058" s="35"/>
      <c r="MFS2058" s="35"/>
      <c r="MPN2058" s="35"/>
      <c r="MPO2058" s="35"/>
      <c r="MZJ2058" s="35"/>
      <c r="MZK2058" s="35"/>
      <c r="NJF2058" s="35"/>
      <c r="NJG2058" s="35"/>
      <c r="NTB2058" s="35"/>
      <c r="NTC2058" s="35"/>
      <c r="OCX2058" s="35"/>
      <c r="OCY2058" s="35"/>
      <c r="OMT2058" s="35"/>
      <c r="OMU2058" s="35"/>
      <c r="OWP2058" s="35"/>
      <c r="OWQ2058" s="35"/>
      <c r="PGL2058" s="35"/>
      <c r="PGM2058" s="35"/>
      <c r="PQH2058" s="35"/>
      <c r="PQI2058" s="35"/>
      <c r="QAD2058" s="35"/>
      <c r="QAE2058" s="35"/>
      <c r="QJZ2058" s="35"/>
      <c r="QKA2058" s="35"/>
      <c r="QTV2058" s="35"/>
      <c r="QTW2058" s="35"/>
      <c r="RDR2058" s="35"/>
      <c r="RDS2058" s="35"/>
      <c r="RNN2058" s="35"/>
      <c r="RNO2058" s="35"/>
      <c r="RXJ2058" s="35"/>
      <c r="RXK2058" s="35"/>
      <c r="SHF2058" s="35"/>
      <c r="SHG2058" s="35"/>
      <c r="SRB2058" s="35"/>
      <c r="SRC2058" s="35"/>
      <c r="TAX2058" s="35"/>
      <c r="TAY2058" s="35"/>
      <c r="TKT2058" s="35"/>
      <c r="TKU2058" s="35"/>
      <c r="TUP2058" s="35"/>
      <c r="TUQ2058" s="35"/>
      <c r="UEL2058" s="35"/>
      <c r="UEM2058" s="35"/>
      <c r="UOH2058" s="35"/>
      <c r="UOI2058" s="35"/>
      <c r="UYD2058" s="35"/>
      <c r="UYE2058" s="35"/>
      <c r="VHZ2058" s="35"/>
      <c r="VIA2058" s="35"/>
      <c r="VRV2058" s="35"/>
      <c r="VRW2058" s="35"/>
      <c r="WBR2058" s="35"/>
      <c r="WBS2058" s="35"/>
      <c r="WLN2058" s="35"/>
      <c r="WLO2058" s="35"/>
      <c r="WVJ2058" s="35"/>
      <c r="WVK2058" s="35"/>
    </row>
    <row r="2059" spans="1:771 1026:1795 2050:2819 3074:3843 4098:4867 5122:5891 6146:6915 7170:7939 8194:8963 9218:9987 10242:11011 11266:12035 12290:13059 13314:14083 14338:15107 15362:16131" s="35" customFormat="1" ht="55.2" x14ac:dyDescent="0.3">
      <c r="A2059" s="28">
        <v>192</v>
      </c>
      <c r="B2059" s="29" t="s">
        <v>1579</v>
      </c>
      <c r="C2059" s="30" t="s">
        <v>1583</v>
      </c>
      <c r="D2059" s="31" t="s">
        <v>13</v>
      </c>
      <c r="E2059" s="32">
        <v>23.6</v>
      </c>
      <c r="F2059" s="33"/>
      <c r="G2059" s="33"/>
      <c r="H2059" s="34" t="s">
        <v>1584</v>
      </c>
    </row>
    <row r="2060" spans="1:771 1026:1795 2050:2819 3074:3843 4098:4867 5122:5891 6146:6915 7170:7939 8194:8963 9218:9987 10242:11011 11266:12035 12290:13059 13314:14083 14338:15107 15362:16131" s="35" customFormat="1" x14ac:dyDescent="0.3">
      <c r="A2060" s="36"/>
      <c r="B2060" s="72" t="s">
        <v>1580</v>
      </c>
      <c r="C2060" s="38" t="s">
        <v>14</v>
      </c>
      <c r="D2060" s="39"/>
      <c r="E2060" s="44"/>
      <c r="F2060" s="40"/>
      <c r="G2060" s="41">
        <f>SUM(G2061)</f>
        <v>459704400</v>
      </c>
      <c r="H2060" s="42"/>
    </row>
    <row r="2061" spans="1:771 1026:1795 2050:2819 3074:3843 4098:4867 5122:5891 6146:6915 7170:7939 8194:8963 9218:9987 10242:11011 11266:12035 12290:13059 13314:14083 14338:15107 15362:16131" s="35" customFormat="1" ht="78" x14ac:dyDescent="0.3">
      <c r="A2061" s="36"/>
      <c r="B2061" s="72" t="s">
        <v>1581</v>
      </c>
      <c r="C2061" s="48" t="s">
        <v>38</v>
      </c>
      <c r="D2061" s="39" t="s">
        <v>13</v>
      </c>
      <c r="E2061" s="44">
        <v>23.6</v>
      </c>
      <c r="F2061" s="161">
        <v>19479000</v>
      </c>
      <c r="G2061" s="40">
        <f>E2061*F2061</f>
        <v>459704400</v>
      </c>
      <c r="H2061" s="42"/>
    </row>
    <row r="2062" spans="1:771 1026:1795 2050:2819 3074:3843 4098:4867 5122:5891 6146:6915 7170:7939 8194:8963 9218:9987 10242:11011 11266:12035 12290:13059 13314:14083 14338:15107 15362:16131" s="35" customFormat="1" x14ac:dyDescent="0.3">
      <c r="A2062" s="36"/>
      <c r="B2062" s="72" t="s">
        <v>1582</v>
      </c>
      <c r="C2062" s="47" t="s">
        <v>35</v>
      </c>
      <c r="D2062" s="39"/>
      <c r="E2062" s="73"/>
      <c r="F2062" s="40"/>
      <c r="G2062" s="41">
        <f>SUM(G2063:G2069)</f>
        <v>18913984</v>
      </c>
      <c r="H2062" s="45"/>
    </row>
    <row r="2063" spans="1:771 1026:1795 2050:2819 3074:3843 4098:4867 5122:5891 6146:6915 7170:7939 8194:8963 9218:9987 10242:11011 11266:12035 12290:13059 13314:14083 14338:15107 15362:16131" s="35" customFormat="1" ht="46.8" x14ac:dyDescent="0.3">
      <c r="A2063" s="36"/>
      <c r="B2063" s="72"/>
      <c r="C2063" s="66" t="s">
        <v>1585</v>
      </c>
      <c r="D2063" s="39" t="s">
        <v>13</v>
      </c>
      <c r="E2063" s="73">
        <v>12.6</v>
      </c>
      <c r="F2063" s="74">
        <v>540000</v>
      </c>
      <c r="G2063" s="40">
        <f t="shared" ref="G2063:G2069" si="29">E2063*F2063</f>
        <v>6804000</v>
      </c>
      <c r="H2063" s="45" t="s">
        <v>2544</v>
      </c>
    </row>
    <row r="2064" spans="1:771 1026:1795 2050:2819 3074:3843 4098:4867 5122:5891 6146:6915 7170:7939 8194:8963 9218:9987 10242:11011 11266:12035 12290:13059 13314:14083 14338:15107 15362:16131" s="35" customFormat="1" ht="31.2" x14ac:dyDescent="0.3">
      <c r="A2064" s="36"/>
      <c r="B2064" s="72"/>
      <c r="C2064" s="66" t="s">
        <v>1586</v>
      </c>
      <c r="D2064" s="39" t="s">
        <v>13</v>
      </c>
      <c r="E2064" s="73">
        <v>4</v>
      </c>
      <c r="F2064" s="40">
        <v>361000</v>
      </c>
      <c r="G2064" s="40">
        <f t="shared" si="29"/>
        <v>1444000</v>
      </c>
      <c r="H2064" s="45"/>
    </row>
    <row r="2065" spans="1:771 1026:1795 2050:2819 3074:3843 4098:4867 5122:5891 6146:6915 7170:7939 8194:8963 9218:9987 10242:11011 11266:12035 12290:13059 13314:14083 14338:15107 15362:16131" s="35" customFormat="1" ht="18.600000000000001" x14ac:dyDescent="0.3">
      <c r="A2065" s="36"/>
      <c r="B2065" s="72"/>
      <c r="C2065" s="66" t="s">
        <v>115</v>
      </c>
      <c r="D2065" s="39" t="s">
        <v>13</v>
      </c>
      <c r="E2065" s="73">
        <f>1.32*1.8</f>
        <v>2.3760000000000003</v>
      </c>
      <c r="F2065" s="40">
        <v>100000</v>
      </c>
      <c r="G2065" s="40">
        <f t="shared" si="29"/>
        <v>237600.00000000003</v>
      </c>
      <c r="H2065" s="45"/>
    </row>
    <row r="2066" spans="1:771 1026:1795 2050:2819 3074:3843 4098:4867 5122:5891 6146:6915 7170:7939 8194:8963 9218:9987 10242:11011 11266:12035 12290:13059 13314:14083 14338:15107 15362:16131" s="35" customFormat="1" ht="18.600000000000001" x14ac:dyDescent="0.3">
      <c r="A2066" s="36"/>
      <c r="B2066" s="72"/>
      <c r="C2066" s="66" t="s">
        <v>1313</v>
      </c>
      <c r="D2066" s="39" t="s">
        <v>128</v>
      </c>
      <c r="E2066" s="73">
        <f>0.4*0.4*2.1*2</f>
        <v>0.67200000000000015</v>
      </c>
      <c r="F2066" s="40">
        <v>6337000</v>
      </c>
      <c r="G2066" s="40">
        <f t="shared" si="29"/>
        <v>4258464.0000000009</v>
      </c>
      <c r="H2066" s="45"/>
    </row>
    <row r="2067" spans="1:771 1026:1795 2050:2819 3074:3843 4098:4867 5122:5891 6146:6915 7170:7939 8194:8963 9218:9987 10242:11011 11266:12035 12290:13059 13314:14083 14338:15107 15362:16131" s="35" customFormat="1" ht="18.600000000000001" x14ac:dyDescent="0.3">
      <c r="A2067" s="36"/>
      <c r="B2067" s="72"/>
      <c r="C2067" s="66" t="s">
        <v>272</v>
      </c>
      <c r="D2067" s="39" t="s">
        <v>13</v>
      </c>
      <c r="E2067" s="73">
        <f>0.4*2.1*8</f>
        <v>6.7200000000000006</v>
      </c>
      <c r="F2067" s="74">
        <v>396000</v>
      </c>
      <c r="G2067" s="40">
        <f t="shared" si="29"/>
        <v>2661120.0000000005</v>
      </c>
      <c r="H2067" s="45"/>
    </row>
    <row r="2068" spans="1:771 1026:1795 2050:2819 3074:3843 4098:4867 5122:5891 6146:6915 7170:7939 8194:8963 9218:9987 10242:11011 11266:12035 12290:13059 13314:14083 14338:15107 15362:16131" s="35" customFormat="1" ht="18.600000000000001" x14ac:dyDescent="0.3">
      <c r="A2068" s="36"/>
      <c r="B2068" s="72"/>
      <c r="C2068" s="66" t="s">
        <v>469</v>
      </c>
      <c r="D2068" s="39" t="s">
        <v>13</v>
      </c>
      <c r="E2068" s="73">
        <f>8*1.7</f>
        <v>13.6</v>
      </c>
      <c r="F2068" s="74">
        <v>258000</v>
      </c>
      <c r="G2068" s="40">
        <f t="shared" si="29"/>
        <v>3508800</v>
      </c>
      <c r="H2068" s="45"/>
    </row>
    <row r="2069" spans="1:771 1026:1795 2050:2819 3074:3843 4098:4867 5122:5891 6146:6915 7170:7939 8194:8963 9218:9987 10242:11011 11266:12035 12290:13059 13314:14083 14338:15107 15362:16131" s="35" customFormat="1" x14ac:dyDescent="0.3">
      <c r="A2069" s="36"/>
      <c r="B2069" s="72"/>
      <c r="C2069" s="66" t="s">
        <v>1587</v>
      </c>
      <c r="D2069" s="39" t="s">
        <v>106</v>
      </c>
      <c r="E2069" s="73">
        <v>1</v>
      </c>
      <c r="F2069" s="74"/>
      <c r="G2069" s="40">
        <f t="shared" si="29"/>
        <v>0</v>
      </c>
      <c r="H2069" s="45"/>
    </row>
    <row r="2070" spans="1:771 1026:1795 2050:2819 3074:3843 4098:4867 5122:5891 6146:6915 7170:7939 8194:8963 9218:9987 10242:11011 11266:12035 12290:13059 13314:14083 14338:15107 15362:16131" s="109" customFormat="1" x14ac:dyDescent="0.3">
      <c r="A2070" s="36"/>
      <c r="B2070" s="64"/>
      <c r="C2070" s="51" t="s">
        <v>20</v>
      </c>
      <c r="D2070" s="36"/>
      <c r="E2070" s="107"/>
      <c r="F2070" s="41"/>
      <c r="G2070" s="41">
        <f>SUM(G2071:G2073)</f>
        <v>300000</v>
      </c>
      <c r="H2070" s="108"/>
    </row>
    <row r="2071" spans="1:771 1026:1795 2050:2819 3074:3843 4098:4867 5122:5891 6146:6915 7170:7939 8194:8963 9218:9987 10242:11011 11266:12035 12290:13059 13314:14083 14338:15107 15362:16131" s="77" customFormat="1" x14ac:dyDescent="0.3">
      <c r="A2071" s="36"/>
      <c r="B2071" s="37"/>
      <c r="C2071" s="75" t="s">
        <v>195</v>
      </c>
      <c r="D2071" s="76" t="s">
        <v>22</v>
      </c>
      <c r="E2071" s="73">
        <v>4</v>
      </c>
      <c r="F2071" s="74">
        <v>40000</v>
      </c>
      <c r="G2071" s="40">
        <f>E2071*F2071</f>
        <v>160000</v>
      </c>
      <c r="H2071" s="52"/>
    </row>
    <row r="2072" spans="1:771 1026:1795 2050:2819 3074:3843 4098:4867 5122:5891 6146:6915 7170:7939 8194:8963 9218:9987 10242:11011 11266:12035 12290:13059 13314:14083 14338:15107 15362:16131" s="77" customFormat="1" x14ac:dyDescent="0.3">
      <c r="A2072" s="36"/>
      <c r="B2072" s="37"/>
      <c r="C2072" s="75" t="s">
        <v>196</v>
      </c>
      <c r="D2072" s="76" t="s">
        <v>22</v>
      </c>
      <c r="E2072" s="73">
        <v>5</v>
      </c>
      <c r="F2072" s="74">
        <v>20000</v>
      </c>
      <c r="G2072" s="40">
        <f>E2072*F2072</f>
        <v>100000</v>
      </c>
      <c r="H2072" s="52"/>
    </row>
    <row r="2073" spans="1:771 1026:1795 2050:2819 3074:3843 4098:4867 5122:5891 6146:6915 7170:7939 8194:8963 9218:9987 10242:11011 11266:12035 12290:13059 13314:14083 14338:15107 15362:16131" s="77" customFormat="1" x14ac:dyDescent="0.3">
      <c r="A2073" s="36"/>
      <c r="B2073" s="37"/>
      <c r="C2073" s="75" t="s">
        <v>902</v>
      </c>
      <c r="D2073" s="76" t="s">
        <v>22</v>
      </c>
      <c r="E2073" s="73">
        <v>1</v>
      </c>
      <c r="F2073" s="74">
        <v>40000</v>
      </c>
      <c r="G2073" s="40">
        <f>E2073*F2073</f>
        <v>40000</v>
      </c>
      <c r="H2073" s="52"/>
    </row>
    <row r="2074" spans="1:771 1026:1795 2050:2819 3074:3843 4098:4867 5122:5891 6146:6915 7170:7939 8194:8963 9218:9987 10242:11011 11266:12035 12290:13059 13314:14083 14338:15107 15362:16131" s="35" customFormat="1" ht="65.400000000000006" thickBot="1" x14ac:dyDescent="0.35">
      <c r="A2074" s="53"/>
      <c r="B2074" s="54"/>
      <c r="C2074" s="55" t="s">
        <v>2331</v>
      </c>
      <c r="D2074" s="56"/>
      <c r="E2074" s="5"/>
      <c r="F2074" s="6"/>
      <c r="G2074" s="57"/>
      <c r="H2074" s="58"/>
    </row>
    <row r="2075" spans="1:771 1026:1795 2050:2819 3074:3843 4098:4867 5122:5891 6146:6915 7170:7939 8194:8963 9218:9987 10242:11011 11266:12035 12290:13059 13314:14083 14338:15107 15362:16131" s="59" customFormat="1" ht="31.8" thickBot="1" x14ac:dyDescent="0.35">
      <c r="A2075" s="154"/>
      <c r="B2075" s="155" t="s">
        <v>26</v>
      </c>
      <c r="C2075" s="156"/>
      <c r="D2075" s="154"/>
      <c r="E2075" s="157"/>
      <c r="F2075" s="158"/>
      <c r="G2075" s="159">
        <f>SUM(G2059:G2074)/2</f>
        <v>478918384</v>
      </c>
      <c r="H2075" s="160"/>
      <c r="IX2075" s="35"/>
      <c r="IY2075" s="35"/>
      <c r="ST2075" s="35"/>
      <c r="SU2075" s="35"/>
      <c r="ACP2075" s="35"/>
      <c r="ACQ2075" s="35"/>
      <c r="AML2075" s="35"/>
      <c r="AMM2075" s="35"/>
      <c r="AWH2075" s="35"/>
      <c r="AWI2075" s="35"/>
      <c r="BGD2075" s="35"/>
      <c r="BGE2075" s="35"/>
      <c r="BPZ2075" s="35"/>
      <c r="BQA2075" s="35"/>
      <c r="BZV2075" s="35"/>
      <c r="BZW2075" s="35"/>
      <c r="CJR2075" s="35"/>
      <c r="CJS2075" s="35"/>
      <c r="CTN2075" s="35"/>
      <c r="CTO2075" s="35"/>
      <c r="DDJ2075" s="35"/>
      <c r="DDK2075" s="35"/>
      <c r="DNF2075" s="35"/>
      <c r="DNG2075" s="35"/>
      <c r="DXB2075" s="35"/>
      <c r="DXC2075" s="35"/>
      <c r="EGX2075" s="35"/>
      <c r="EGY2075" s="35"/>
      <c r="EQT2075" s="35"/>
      <c r="EQU2075" s="35"/>
      <c r="FAP2075" s="35"/>
      <c r="FAQ2075" s="35"/>
      <c r="FKL2075" s="35"/>
      <c r="FKM2075" s="35"/>
      <c r="FUH2075" s="35"/>
      <c r="FUI2075" s="35"/>
      <c r="GED2075" s="35"/>
      <c r="GEE2075" s="35"/>
      <c r="GNZ2075" s="35"/>
      <c r="GOA2075" s="35"/>
      <c r="GXV2075" s="35"/>
      <c r="GXW2075" s="35"/>
      <c r="HHR2075" s="35"/>
      <c r="HHS2075" s="35"/>
      <c r="HRN2075" s="35"/>
      <c r="HRO2075" s="35"/>
      <c r="IBJ2075" s="35"/>
      <c r="IBK2075" s="35"/>
      <c r="ILF2075" s="35"/>
      <c r="ILG2075" s="35"/>
      <c r="IVB2075" s="35"/>
      <c r="IVC2075" s="35"/>
      <c r="JEX2075" s="35"/>
      <c r="JEY2075" s="35"/>
      <c r="JOT2075" s="35"/>
      <c r="JOU2075" s="35"/>
      <c r="JYP2075" s="35"/>
      <c r="JYQ2075" s="35"/>
      <c r="KIL2075" s="35"/>
      <c r="KIM2075" s="35"/>
      <c r="KSH2075" s="35"/>
      <c r="KSI2075" s="35"/>
      <c r="LCD2075" s="35"/>
      <c r="LCE2075" s="35"/>
      <c r="LLZ2075" s="35"/>
      <c r="LMA2075" s="35"/>
      <c r="LVV2075" s="35"/>
      <c r="LVW2075" s="35"/>
      <c r="MFR2075" s="35"/>
      <c r="MFS2075" s="35"/>
      <c r="MPN2075" s="35"/>
      <c r="MPO2075" s="35"/>
      <c r="MZJ2075" s="35"/>
      <c r="MZK2075" s="35"/>
      <c r="NJF2075" s="35"/>
      <c r="NJG2075" s="35"/>
      <c r="NTB2075" s="35"/>
      <c r="NTC2075" s="35"/>
      <c r="OCX2075" s="35"/>
      <c r="OCY2075" s="35"/>
      <c r="OMT2075" s="35"/>
      <c r="OMU2075" s="35"/>
      <c r="OWP2075" s="35"/>
      <c r="OWQ2075" s="35"/>
      <c r="PGL2075" s="35"/>
      <c r="PGM2075" s="35"/>
      <c r="PQH2075" s="35"/>
      <c r="PQI2075" s="35"/>
      <c r="QAD2075" s="35"/>
      <c r="QAE2075" s="35"/>
      <c r="QJZ2075" s="35"/>
      <c r="QKA2075" s="35"/>
      <c r="QTV2075" s="35"/>
      <c r="QTW2075" s="35"/>
      <c r="RDR2075" s="35"/>
      <c r="RDS2075" s="35"/>
      <c r="RNN2075" s="35"/>
      <c r="RNO2075" s="35"/>
      <c r="RXJ2075" s="35"/>
      <c r="RXK2075" s="35"/>
      <c r="SHF2075" s="35"/>
      <c r="SHG2075" s="35"/>
      <c r="SRB2075" s="35"/>
      <c r="SRC2075" s="35"/>
      <c r="TAX2075" s="35"/>
      <c r="TAY2075" s="35"/>
      <c r="TKT2075" s="35"/>
      <c r="TKU2075" s="35"/>
      <c r="TUP2075" s="35"/>
      <c r="TUQ2075" s="35"/>
      <c r="UEL2075" s="35"/>
      <c r="UEM2075" s="35"/>
      <c r="UOH2075" s="35"/>
      <c r="UOI2075" s="35"/>
      <c r="UYD2075" s="35"/>
      <c r="UYE2075" s="35"/>
      <c r="VHZ2075" s="35"/>
      <c r="VIA2075" s="35"/>
      <c r="VRV2075" s="35"/>
      <c r="VRW2075" s="35"/>
      <c r="WBR2075" s="35"/>
      <c r="WBS2075" s="35"/>
      <c r="WLN2075" s="35"/>
      <c r="WLO2075" s="35"/>
      <c r="WVJ2075" s="35"/>
      <c r="WVK2075" s="35"/>
    </row>
    <row r="2076" spans="1:771 1026:1795 2050:2819 3074:3843 4098:4867 5122:5891 6146:6915 7170:7939 8194:8963 9218:9987 10242:11011 11266:12035 12290:13059 13314:14083 14338:15107 15362:16131" s="35" customFormat="1" ht="55.2" x14ac:dyDescent="0.3">
      <c r="A2076" s="28">
        <v>193</v>
      </c>
      <c r="B2076" s="29" t="s">
        <v>1588</v>
      </c>
      <c r="C2076" s="30" t="s">
        <v>1592</v>
      </c>
      <c r="D2076" s="31" t="s">
        <v>13</v>
      </c>
      <c r="E2076" s="32">
        <v>8</v>
      </c>
      <c r="F2076" s="33"/>
      <c r="G2076" s="33"/>
      <c r="H2076" s="34" t="s">
        <v>1593</v>
      </c>
    </row>
    <row r="2077" spans="1:771 1026:1795 2050:2819 3074:3843 4098:4867 5122:5891 6146:6915 7170:7939 8194:8963 9218:9987 10242:11011 11266:12035 12290:13059 13314:14083 14338:15107 15362:16131" s="35" customFormat="1" x14ac:dyDescent="0.3">
      <c r="A2077" s="36"/>
      <c r="B2077" s="72" t="s">
        <v>1589</v>
      </c>
      <c r="C2077" s="38" t="s">
        <v>14</v>
      </c>
      <c r="D2077" s="39"/>
      <c r="E2077" s="44"/>
      <c r="F2077" s="40"/>
      <c r="G2077" s="41">
        <f>SUM(G2078)</f>
        <v>155832000</v>
      </c>
      <c r="H2077" s="42"/>
    </row>
    <row r="2078" spans="1:771 1026:1795 2050:2819 3074:3843 4098:4867 5122:5891 6146:6915 7170:7939 8194:8963 9218:9987 10242:11011 11266:12035 12290:13059 13314:14083 14338:15107 15362:16131" s="35" customFormat="1" ht="78" x14ac:dyDescent="0.3">
      <c r="A2078" s="36"/>
      <c r="B2078" s="72" t="s">
        <v>1590</v>
      </c>
      <c r="C2078" s="48" t="s">
        <v>38</v>
      </c>
      <c r="D2078" s="39" t="s">
        <v>13</v>
      </c>
      <c r="E2078" s="44">
        <v>8</v>
      </c>
      <c r="F2078" s="161">
        <v>19479000</v>
      </c>
      <c r="G2078" s="40">
        <f>E2078*F2078</f>
        <v>155832000</v>
      </c>
      <c r="H2078" s="42"/>
    </row>
    <row r="2079" spans="1:771 1026:1795 2050:2819 3074:3843 4098:4867 5122:5891 6146:6915 7170:7939 8194:8963 9218:9987 10242:11011 11266:12035 12290:13059 13314:14083 14338:15107 15362:16131" s="35" customFormat="1" x14ac:dyDescent="0.3">
      <c r="A2079" s="36"/>
      <c r="B2079" s="72" t="s">
        <v>1591</v>
      </c>
      <c r="C2079" s="47" t="s">
        <v>35</v>
      </c>
      <c r="D2079" s="39"/>
      <c r="E2079" s="73"/>
      <c r="F2079" s="40"/>
      <c r="G2079" s="41">
        <f>SUM(G2080:G2082)</f>
        <v>30599175.999999996</v>
      </c>
      <c r="H2079" s="45"/>
    </row>
    <row r="2080" spans="1:771 1026:1795 2050:2819 3074:3843 4098:4867 5122:5891 6146:6915 7170:7939 8194:8963 9218:9987 10242:11011 11266:12035 12290:13059 13314:14083 14338:15107 15362:16131" s="35" customFormat="1" ht="78" x14ac:dyDescent="0.3">
      <c r="A2080" s="36"/>
      <c r="B2080" s="38"/>
      <c r="C2080" s="66" t="s">
        <v>1594</v>
      </c>
      <c r="D2080" s="39"/>
      <c r="E2080" s="73">
        <f>8.665-(0.2*0.8*1.2)</f>
        <v>8.472999999999999</v>
      </c>
      <c r="F2080" s="74">
        <v>3592000</v>
      </c>
      <c r="G2080" s="40">
        <f>E2080*F2080</f>
        <v>30435015.999999996</v>
      </c>
      <c r="H2080" s="45" t="s">
        <v>2545</v>
      </c>
    </row>
    <row r="2081" spans="1:771 1026:1795 2050:2819 3074:3843 4098:4867 5122:5891 6146:6915 7170:7939 8194:8963 9218:9987 10242:11011 11266:12035 12290:13059 13314:14083 14338:15107 15362:16131" s="35" customFormat="1" ht="46.8" x14ac:dyDescent="0.3">
      <c r="A2081" s="36"/>
      <c r="B2081" s="72"/>
      <c r="C2081" s="66" t="s">
        <v>1595</v>
      </c>
      <c r="D2081" s="39" t="s">
        <v>13</v>
      </c>
      <c r="E2081" s="73">
        <v>0.76</v>
      </c>
      <c r="F2081" s="74">
        <f>540000*40%</f>
        <v>216000</v>
      </c>
      <c r="G2081" s="40">
        <f>E2081*F2081</f>
        <v>164160</v>
      </c>
      <c r="H2081" s="35" t="s">
        <v>2374</v>
      </c>
    </row>
    <row r="2082" spans="1:771 1026:1795 2050:2819 3074:3843 4098:4867 5122:5891 6146:6915 7170:7939 8194:8963 9218:9987 10242:11011 11266:12035 12290:13059 13314:14083 14338:15107 15362:16131" s="35" customFormat="1" ht="65.400000000000006" thickBot="1" x14ac:dyDescent="0.35">
      <c r="A2082" s="53"/>
      <c r="B2082" s="54"/>
      <c r="C2082" s="55" t="s">
        <v>2331</v>
      </c>
      <c r="D2082" s="56"/>
      <c r="E2082" s="5"/>
      <c r="F2082" s="6"/>
      <c r="G2082" s="57"/>
      <c r="H2082" s="58"/>
    </row>
    <row r="2083" spans="1:771 1026:1795 2050:2819 3074:3843 4098:4867 5122:5891 6146:6915 7170:7939 8194:8963 9218:9987 10242:11011 11266:12035 12290:13059 13314:14083 14338:15107 15362:16131" s="59" customFormat="1" ht="31.8" thickBot="1" x14ac:dyDescent="0.35">
      <c r="A2083" s="154"/>
      <c r="B2083" s="155" t="s">
        <v>26</v>
      </c>
      <c r="C2083" s="156"/>
      <c r="D2083" s="154"/>
      <c r="E2083" s="157"/>
      <c r="F2083" s="158"/>
      <c r="G2083" s="159">
        <f>SUM(G2076:G2082)/2</f>
        <v>186431176</v>
      </c>
      <c r="H2083" s="160"/>
      <c r="IX2083" s="35"/>
      <c r="IY2083" s="35"/>
      <c r="ST2083" s="35"/>
      <c r="SU2083" s="35"/>
      <c r="ACP2083" s="35"/>
      <c r="ACQ2083" s="35"/>
      <c r="AML2083" s="35"/>
      <c r="AMM2083" s="35"/>
      <c r="AWH2083" s="35"/>
      <c r="AWI2083" s="35"/>
      <c r="BGD2083" s="35"/>
      <c r="BGE2083" s="35"/>
      <c r="BPZ2083" s="35"/>
      <c r="BQA2083" s="35"/>
      <c r="BZV2083" s="35"/>
      <c r="BZW2083" s="35"/>
      <c r="CJR2083" s="35"/>
      <c r="CJS2083" s="35"/>
      <c r="CTN2083" s="35"/>
      <c r="CTO2083" s="35"/>
      <c r="DDJ2083" s="35"/>
      <c r="DDK2083" s="35"/>
      <c r="DNF2083" s="35"/>
      <c r="DNG2083" s="35"/>
      <c r="DXB2083" s="35"/>
      <c r="DXC2083" s="35"/>
      <c r="EGX2083" s="35"/>
      <c r="EGY2083" s="35"/>
      <c r="EQT2083" s="35"/>
      <c r="EQU2083" s="35"/>
      <c r="FAP2083" s="35"/>
      <c r="FAQ2083" s="35"/>
      <c r="FKL2083" s="35"/>
      <c r="FKM2083" s="35"/>
      <c r="FUH2083" s="35"/>
      <c r="FUI2083" s="35"/>
      <c r="GED2083" s="35"/>
      <c r="GEE2083" s="35"/>
      <c r="GNZ2083" s="35"/>
      <c r="GOA2083" s="35"/>
      <c r="GXV2083" s="35"/>
      <c r="GXW2083" s="35"/>
      <c r="HHR2083" s="35"/>
      <c r="HHS2083" s="35"/>
      <c r="HRN2083" s="35"/>
      <c r="HRO2083" s="35"/>
      <c r="IBJ2083" s="35"/>
      <c r="IBK2083" s="35"/>
      <c r="ILF2083" s="35"/>
      <c r="ILG2083" s="35"/>
      <c r="IVB2083" s="35"/>
      <c r="IVC2083" s="35"/>
      <c r="JEX2083" s="35"/>
      <c r="JEY2083" s="35"/>
      <c r="JOT2083" s="35"/>
      <c r="JOU2083" s="35"/>
      <c r="JYP2083" s="35"/>
      <c r="JYQ2083" s="35"/>
      <c r="KIL2083" s="35"/>
      <c r="KIM2083" s="35"/>
      <c r="KSH2083" s="35"/>
      <c r="KSI2083" s="35"/>
      <c r="LCD2083" s="35"/>
      <c r="LCE2083" s="35"/>
      <c r="LLZ2083" s="35"/>
      <c r="LMA2083" s="35"/>
      <c r="LVV2083" s="35"/>
      <c r="LVW2083" s="35"/>
      <c r="MFR2083" s="35"/>
      <c r="MFS2083" s="35"/>
      <c r="MPN2083" s="35"/>
      <c r="MPO2083" s="35"/>
      <c r="MZJ2083" s="35"/>
      <c r="MZK2083" s="35"/>
      <c r="NJF2083" s="35"/>
      <c r="NJG2083" s="35"/>
      <c r="NTB2083" s="35"/>
      <c r="NTC2083" s="35"/>
      <c r="OCX2083" s="35"/>
      <c r="OCY2083" s="35"/>
      <c r="OMT2083" s="35"/>
      <c r="OMU2083" s="35"/>
      <c r="OWP2083" s="35"/>
      <c r="OWQ2083" s="35"/>
      <c r="PGL2083" s="35"/>
      <c r="PGM2083" s="35"/>
      <c r="PQH2083" s="35"/>
      <c r="PQI2083" s="35"/>
      <c r="QAD2083" s="35"/>
      <c r="QAE2083" s="35"/>
      <c r="QJZ2083" s="35"/>
      <c r="QKA2083" s="35"/>
      <c r="QTV2083" s="35"/>
      <c r="QTW2083" s="35"/>
      <c r="RDR2083" s="35"/>
      <c r="RDS2083" s="35"/>
      <c r="RNN2083" s="35"/>
      <c r="RNO2083" s="35"/>
      <c r="RXJ2083" s="35"/>
      <c r="RXK2083" s="35"/>
      <c r="SHF2083" s="35"/>
      <c r="SHG2083" s="35"/>
      <c r="SRB2083" s="35"/>
      <c r="SRC2083" s="35"/>
      <c r="TAX2083" s="35"/>
      <c r="TAY2083" s="35"/>
      <c r="TKT2083" s="35"/>
      <c r="TKU2083" s="35"/>
      <c r="TUP2083" s="35"/>
      <c r="TUQ2083" s="35"/>
      <c r="UEL2083" s="35"/>
      <c r="UEM2083" s="35"/>
      <c r="UOH2083" s="35"/>
      <c r="UOI2083" s="35"/>
      <c r="UYD2083" s="35"/>
      <c r="UYE2083" s="35"/>
      <c r="VHZ2083" s="35"/>
      <c r="VIA2083" s="35"/>
      <c r="VRV2083" s="35"/>
      <c r="VRW2083" s="35"/>
      <c r="WBR2083" s="35"/>
      <c r="WBS2083" s="35"/>
      <c r="WLN2083" s="35"/>
      <c r="WLO2083" s="35"/>
      <c r="WVJ2083" s="35"/>
      <c r="WVK2083" s="35"/>
    </row>
    <row r="2084" spans="1:771 1026:1795 2050:2819 3074:3843 4098:4867 5122:5891 6146:6915 7170:7939 8194:8963 9218:9987 10242:11011 11266:12035 12290:13059 13314:14083 14338:15107 15362:16131" s="35" customFormat="1" ht="55.2" x14ac:dyDescent="0.3">
      <c r="A2084" s="28">
        <v>194</v>
      </c>
      <c r="B2084" s="29" t="s">
        <v>1596</v>
      </c>
      <c r="C2084" s="30" t="s">
        <v>1600</v>
      </c>
      <c r="D2084" s="31" t="s">
        <v>13</v>
      </c>
      <c r="E2084" s="32">
        <v>7.8</v>
      </c>
      <c r="F2084" s="33"/>
      <c r="G2084" s="33"/>
      <c r="H2084" s="34" t="s">
        <v>1601</v>
      </c>
    </row>
    <row r="2085" spans="1:771 1026:1795 2050:2819 3074:3843 4098:4867 5122:5891 6146:6915 7170:7939 8194:8963 9218:9987 10242:11011 11266:12035 12290:13059 13314:14083 14338:15107 15362:16131" s="35" customFormat="1" x14ac:dyDescent="0.3">
      <c r="A2085" s="36"/>
      <c r="B2085" s="72" t="s">
        <v>1597</v>
      </c>
      <c r="C2085" s="38" t="s">
        <v>14</v>
      </c>
      <c r="D2085" s="39"/>
      <c r="E2085" s="44"/>
      <c r="F2085" s="40"/>
      <c r="G2085" s="41">
        <f>SUM(G2086)</f>
        <v>151936200</v>
      </c>
      <c r="H2085" s="42"/>
    </row>
    <row r="2086" spans="1:771 1026:1795 2050:2819 3074:3843 4098:4867 5122:5891 6146:6915 7170:7939 8194:8963 9218:9987 10242:11011 11266:12035 12290:13059 13314:14083 14338:15107 15362:16131" s="35" customFormat="1" ht="62.4" x14ac:dyDescent="0.3">
      <c r="A2086" s="36"/>
      <c r="B2086" s="72" t="s">
        <v>1598</v>
      </c>
      <c r="C2086" s="48" t="s">
        <v>38</v>
      </c>
      <c r="D2086" s="39" t="s">
        <v>13</v>
      </c>
      <c r="E2086" s="44">
        <v>7.8</v>
      </c>
      <c r="F2086" s="161">
        <v>19479000</v>
      </c>
      <c r="G2086" s="40">
        <f>E2086*F2086</f>
        <v>151936200</v>
      </c>
      <c r="H2086" s="42"/>
    </row>
    <row r="2087" spans="1:771 1026:1795 2050:2819 3074:3843 4098:4867 5122:5891 6146:6915 7170:7939 8194:8963 9218:9987 10242:11011 11266:12035 12290:13059 13314:14083 14338:15107 15362:16131" s="35" customFormat="1" x14ac:dyDescent="0.3">
      <c r="A2087" s="36"/>
      <c r="B2087" s="72" t="s">
        <v>1599</v>
      </c>
      <c r="C2087" s="47" t="s">
        <v>35</v>
      </c>
      <c r="D2087" s="39"/>
      <c r="E2087" s="73"/>
      <c r="F2087" s="40"/>
      <c r="G2087" s="41">
        <f>SUM(G2088)</f>
        <v>26473040</v>
      </c>
      <c r="H2087" s="45"/>
    </row>
    <row r="2088" spans="1:771 1026:1795 2050:2819 3074:3843 4098:4867 5122:5891 6146:6915 7170:7939 8194:8963 9218:9987 10242:11011 11266:12035 12290:13059 13314:14083 14338:15107 15362:16131" s="35" customFormat="1" ht="93.6" x14ac:dyDescent="0.3">
      <c r="A2088" s="36"/>
      <c r="B2088" s="38"/>
      <c r="C2088" s="66" t="s">
        <v>1602</v>
      </c>
      <c r="D2088" s="39"/>
      <c r="E2088" s="73">
        <f>8-(0.5*0.6*2.1)</f>
        <v>7.37</v>
      </c>
      <c r="F2088" s="74">
        <v>3592000</v>
      </c>
      <c r="G2088" s="40">
        <f>E2088*F2088</f>
        <v>26473040</v>
      </c>
      <c r="H2088" s="45" t="s">
        <v>2546</v>
      </c>
    </row>
    <row r="2089" spans="1:771 1026:1795 2050:2819 3074:3843 4098:4867 5122:5891 6146:6915 7170:7939 8194:8963 9218:9987 10242:11011 11266:12035 12290:13059 13314:14083 14338:15107 15362:16131" s="109" customFormat="1" x14ac:dyDescent="0.3">
      <c r="A2089" s="36"/>
      <c r="B2089" s="64"/>
      <c r="C2089" s="51" t="s">
        <v>20</v>
      </c>
      <c r="D2089" s="36"/>
      <c r="E2089" s="107"/>
      <c r="F2089" s="41"/>
      <c r="G2089" s="41">
        <f>SUM(G2090:G2092)</f>
        <v>80000</v>
      </c>
      <c r="H2089" s="108"/>
    </row>
    <row r="2090" spans="1:771 1026:1795 2050:2819 3074:3843 4098:4867 5122:5891 6146:6915 7170:7939 8194:8963 9218:9987 10242:11011 11266:12035 12290:13059 13314:14083 14338:15107 15362:16131" s="77" customFormat="1" x14ac:dyDescent="0.3">
      <c r="A2090" s="36"/>
      <c r="B2090" s="37"/>
      <c r="C2090" s="75" t="s">
        <v>1292</v>
      </c>
      <c r="D2090" s="76" t="s">
        <v>22</v>
      </c>
      <c r="E2090" s="73">
        <v>1</v>
      </c>
      <c r="F2090" s="74">
        <v>20000</v>
      </c>
      <c r="G2090" s="40">
        <f>E2090*F2090</f>
        <v>20000</v>
      </c>
      <c r="H2090" s="52"/>
    </row>
    <row r="2091" spans="1:771 1026:1795 2050:2819 3074:3843 4098:4867 5122:5891 6146:6915 7170:7939 8194:8963 9218:9987 10242:11011 11266:12035 12290:13059 13314:14083 14338:15107 15362:16131" s="77" customFormat="1" x14ac:dyDescent="0.3">
      <c r="A2091" s="36"/>
      <c r="B2091" s="37"/>
      <c r="C2091" s="75" t="s">
        <v>311</v>
      </c>
      <c r="D2091" s="76" t="s">
        <v>22</v>
      </c>
      <c r="E2091" s="73">
        <v>2</v>
      </c>
      <c r="F2091" s="74">
        <v>20000</v>
      </c>
      <c r="G2091" s="40">
        <f>E2091*F2091</f>
        <v>40000</v>
      </c>
      <c r="H2091" s="52"/>
    </row>
    <row r="2092" spans="1:771 1026:1795 2050:2819 3074:3843 4098:4867 5122:5891 6146:6915 7170:7939 8194:8963 9218:9987 10242:11011 11266:12035 12290:13059 13314:14083 14338:15107 15362:16131" s="77" customFormat="1" x14ac:dyDescent="0.3">
      <c r="A2092" s="36"/>
      <c r="B2092" s="37"/>
      <c r="C2092" s="75" t="s">
        <v>36</v>
      </c>
      <c r="D2092" s="76" t="s">
        <v>22</v>
      </c>
      <c r="E2092" s="73">
        <v>5</v>
      </c>
      <c r="F2092" s="74">
        <v>4000</v>
      </c>
      <c r="G2092" s="40">
        <f>E2092*F2092</f>
        <v>20000</v>
      </c>
      <c r="H2092" s="52"/>
    </row>
    <row r="2093" spans="1:771 1026:1795 2050:2819 3074:3843 4098:4867 5122:5891 6146:6915 7170:7939 8194:8963 9218:9987 10242:11011 11266:12035 12290:13059 13314:14083 14338:15107 15362:16131" s="35" customFormat="1" ht="65.400000000000006" thickBot="1" x14ac:dyDescent="0.35">
      <c r="A2093" s="53"/>
      <c r="B2093" s="54"/>
      <c r="C2093" s="55" t="s">
        <v>2331</v>
      </c>
      <c r="D2093" s="56"/>
      <c r="E2093" s="5"/>
      <c r="F2093" s="6"/>
      <c r="G2093" s="57"/>
      <c r="H2093" s="58"/>
    </row>
    <row r="2094" spans="1:771 1026:1795 2050:2819 3074:3843 4098:4867 5122:5891 6146:6915 7170:7939 8194:8963 9218:9987 10242:11011 11266:12035 12290:13059 13314:14083 14338:15107 15362:16131" s="59" customFormat="1" ht="31.8" thickBot="1" x14ac:dyDescent="0.35">
      <c r="A2094" s="154"/>
      <c r="B2094" s="155" t="s">
        <v>26</v>
      </c>
      <c r="C2094" s="156"/>
      <c r="D2094" s="154"/>
      <c r="E2094" s="157"/>
      <c r="F2094" s="158"/>
      <c r="G2094" s="159">
        <f>SUM(G2084:G2093)/2</f>
        <v>178489240</v>
      </c>
      <c r="H2094" s="160"/>
      <c r="IX2094" s="35"/>
      <c r="IY2094" s="35"/>
      <c r="ST2094" s="35"/>
      <c r="SU2094" s="35"/>
      <c r="ACP2094" s="35"/>
      <c r="ACQ2094" s="35"/>
      <c r="AML2094" s="35"/>
      <c r="AMM2094" s="35"/>
      <c r="AWH2094" s="35"/>
      <c r="AWI2094" s="35"/>
      <c r="BGD2094" s="35"/>
      <c r="BGE2094" s="35"/>
      <c r="BPZ2094" s="35"/>
      <c r="BQA2094" s="35"/>
      <c r="BZV2094" s="35"/>
      <c r="BZW2094" s="35"/>
      <c r="CJR2094" s="35"/>
      <c r="CJS2094" s="35"/>
      <c r="CTN2094" s="35"/>
      <c r="CTO2094" s="35"/>
      <c r="DDJ2094" s="35"/>
      <c r="DDK2094" s="35"/>
      <c r="DNF2094" s="35"/>
      <c r="DNG2094" s="35"/>
      <c r="DXB2094" s="35"/>
      <c r="DXC2094" s="35"/>
      <c r="EGX2094" s="35"/>
      <c r="EGY2094" s="35"/>
      <c r="EQT2094" s="35"/>
      <c r="EQU2094" s="35"/>
      <c r="FAP2094" s="35"/>
      <c r="FAQ2094" s="35"/>
      <c r="FKL2094" s="35"/>
      <c r="FKM2094" s="35"/>
      <c r="FUH2094" s="35"/>
      <c r="FUI2094" s="35"/>
      <c r="GED2094" s="35"/>
      <c r="GEE2094" s="35"/>
      <c r="GNZ2094" s="35"/>
      <c r="GOA2094" s="35"/>
      <c r="GXV2094" s="35"/>
      <c r="GXW2094" s="35"/>
      <c r="HHR2094" s="35"/>
      <c r="HHS2094" s="35"/>
      <c r="HRN2094" s="35"/>
      <c r="HRO2094" s="35"/>
      <c r="IBJ2094" s="35"/>
      <c r="IBK2094" s="35"/>
      <c r="ILF2094" s="35"/>
      <c r="ILG2094" s="35"/>
      <c r="IVB2094" s="35"/>
      <c r="IVC2094" s="35"/>
      <c r="JEX2094" s="35"/>
      <c r="JEY2094" s="35"/>
      <c r="JOT2094" s="35"/>
      <c r="JOU2094" s="35"/>
      <c r="JYP2094" s="35"/>
      <c r="JYQ2094" s="35"/>
      <c r="KIL2094" s="35"/>
      <c r="KIM2094" s="35"/>
      <c r="KSH2094" s="35"/>
      <c r="KSI2094" s="35"/>
      <c r="LCD2094" s="35"/>
      <c r="LCE2094" s="35"/>
      <c r="LLZ2094" s="35"/>
      <c r="LMA2094" s="35"/>
      <c r="LVV2094" s="35"/>
      <c r="LVW2094" s="35"/>
      <c r="MFR2094" s="35"/>
      <c r="MFS2094" s="35"/>
      <c r="MPN2094" s="35"/>
      <c r="MPO2094" s="35"/>
      <c r="MZJ2094" s="35"/>
      <c r="MZK2094" s="35"/>
      <c r="NJF2094" s="35"/>
      <c r="NJG2094" s="35"/>
      <c r="NTB2094" s="35"/>
      <c r="NTC2094" s="35"/>
      <c r="OCX2094" s="35"/>
      <c r="OCY2094" s="35"/>
      <c r="OMT2094" s="35"/>
      <c r="OMU2094" s="35"/>
      <c r="OWP2094" s="35"/>
      <c r="OWQ2094" s="35"/>
      <c r="PGL2094" s="35"/>
      <c r="PGM2094" s="35"/>
      <c r="PQH2094" s="35"/>
      <c r="PQI2094" s="35"/>
      <c r="QAD2094" s="35"/>
      <c r="QAE2094" s="35"/>
      <c r="QJZ2094" s="35"/>
      <c r="QKA2094" s="35"/>
      <c r="QTV2094" s="35"/>
      <c r="QTW2094" s="35"/>
      <c r="RDR2094" s="35"/>
      <c r="RDS2094" s="35"/>
      <c r="RNN2094" s="35"/>
      <c r="RNO2094" s="35"/>
      <c r="RXJ2094" s="35"/>
      <c r="RXK2094" s="35"/>
      <c r="SHF2094" s="35"/>
      <c r="SHG2094" s="35"/>
      <c r="SRB2094" s="35"/>
      <c r="SRC2094" s="35"/>
      <c r="TAX2094" s="35"/>
      <c r="TAY2094" s="35"/>
      <c r="TKT2094" s="35"/>
      <c r="TKU2094" s="35"/>
      <c r="TUP2094" s="35"/>
      <c r="TUQ2094" s="35"/>
      <c r="UEL2094" s="35"/>
      <c r="UEM2094" s="35"/>
      <c r="UOH2094" s="35"/>
      <c r="UOI2094" s="35"/>
      <c r="UYD2094" s="35"/>
      <c r="UYE2094" s="35"/>
      <c r="VHZ2094" s="35"/>
      <c r="VIA2094" s="35"/>
      <c r="VRV2094" s="35"/>
      <c r="VRW2094" s="35"/>
      <c r="WBR2094" s="35"/>
      <c r="WBS2094" s="35"/>
      <c r="WLN2094" s="35"/>
      <c r="WLO2094" s="35"/>
      <c r="WVJ2094" s="35"/>
      <c r="WVK2094" s="35"/>
    </row>
    <row r="2095" spans="1:771 1026:1795 2050:2819 3074:3843 4098:4867 5122:5891 6146:6915 7170:7939 8194:8963 9218:9987 10242:11011 11266:12035 12290:13059 13314:14083 14338:15107 15362:16131" s="35" customFormat="1" ht="55.2" x14ac:dyDescent="0.3">
      <c r="A2095" s="28">
        <v>195</v>
      </c>
      <c r="B2095" s="29" t="s">
        <v>1603</v>
      </c>
      <c r="C2095" s="30" t="s">
        <v>1607</v>
      </c>
      <c r="D2095" s="31" t="s">
        <v>13</v>
      </c>
      <c r="E2095" s="32">
        <v>9.1999999999999993</v>
      </c>
      <c r="F2095" s="33"/>
      <c r="G2095" s="33"/>
      <c r="H2095" s="34" t="s">
        <v>1608</v>
      </c>
    </row>
    <row r="2096" spans="1:771 1026:1795 2050:2819 3074:3843 4098:4867 5122:5891 6146:6915 7170:7939 8194:8963 9218:9987 10242:11011 11266:12035 12290:13059 13314:14083 14338:15107 15362:16131" s="35" customFormat="1" x14ac:dyDescent="0.3">
      <c r="A2096" s="36"/>
      <c r="B2096" s="72" t="s">
        <v>1604</v>
      </c>
      <c r="C2096" s="38" t="s">
        <v>14</v>
      </c>
      <c r="D2096" s="39"/>
      <c r="E2096" s="44"/>
      <c r="F2096" s="40"/>
      <c r="G2096" s="41">
        <f>SUM(G2097)</f>
        <v>95716800</v>
      </c>
      <c r="H2096" s="42"/>
    </row>
    <row r="2097" spans="1:771 1026:1795 2050:2819 3074:3843 4098:4867 5122:5891 6146:6915 7170:7939 8194:8963 9218:9987 10242:11011 11266:12035 12290:13059 13314:14083 14338:15107 15362:16131" s="35" customFormat="1" ht="78" x14ac:dyDescent="0.3">
      <c r="A2097" s="36"/>
      <c r="B2097" s="72" t="s">
        <v>1605</v>
      </c>
      <c r="C2097" s="43" t="s">
        <v>55</v>
      </c>
      <c r="D2097" s="39" t="s">
        <v>13</v>
      </c>
      <c r="E2097" s="44">
        <v>9.1999999999999993</v>
      </c>
      <c r="F2097" s="153">
        <v>10404000</v>
      </c>
      <c r="G2097" s="40">
        <f>E2097*F2097</f>
        <v>95716800</v>
      </c>
      <c r="H2097" s="42"/>
    </row>
    <row r="2098" spans="1:771 1026:1795 2050:2819 3074:3843 4098:4867 5122:5891 6146:6915 7170:7939 8194:8963 9218:9987 10242:11011 11266:12035 12290:13059 13314:14083 14338:15107 15362:16131" s="35" customFormat="1" x14ac:dyDescent="0.3">
      <c r="A2098" s="36"/>
      <c r="B2098" s="72" t="s">
        <v>1606</v>
      </c>
      <c r="C2098" s="47" t="s">
        <v>35</v>
      </c>
      <c r="D2098" s="39"/>
      <c r="E2098" s="73"/>
      <c r="F2098" s="40"/>
      <c r="G2098" s="41">
        <f>SUM(G2099)</f>
        <v>13074880</v>
      </c>
      <c r="H2098" s="45"/>
    </row>
    <row r="2099" spans="1:771 1026:1795 2050:2819 3074:3843 4098:4867 5122:5891 6146:6915 7170:7939 8194:8963 9218:9987 10242:11011 11266:12035 12290:13059 13314:14083 14338:15107 15362:16131" s="35" customFormat="1" ht="82.8" x14ac:dyDescent="0.3">
      <c r="A2099" s="36"/>
      <c r="B2099" s="38"/>
      <c r="C2099" s="101" t="s">
        <v>1609</v>
      </c>
      <c r="D2099" s="39"/>
      <c r="E2099" s="73">
        <v>9.1</v>
      </c>
      <c r="F2099" s="74">
        <f>3592000*40%</f>
        <v>1436800</v>
      </c>
      <c r="G2099" s="40">
        <f>E2099*F2099</f>
        <v>13074880</v>
      </c>
      <c r="H2099" s="45" t="s">
        <v>2547</v>
      </c>
    </row>
    <row r="2100" spans="1:771 1026:1795 2050:2819 3074:3843 4098:4867 5122:5891 6146:6915 7170:7939 8194:8963 9218:9987 10242:11011 11266:12035 12290:13059 13314:14083 14338:15107 15362:16131" s="109" customFormat="1" x14ac:dyDescent="0.3">
      <c r="A2100" s="36"/>
      <c r="B2100" s="64"/>
      <c r="C2100" s="51" t="s">
        <v>20</v>
      </c>
      <c r="D2100" s="36"/>
      <c r="E2100" s="107"/>
      <c r="F2100" s="41"/>
      <c r="G2100" s="41">
        <f>SUM(G2101:G2103)</f>
        <v>80000</v>
      </c>
      <c r="H2100" s="108"/>
    </row>
    <row r="2101" spans="1:771 1026:1795 2050:2819 3074:3843 4098:4867 5122:5891 6146:6915 7170:7939 8194:8963 9218:9987 10242:11011 11266:12035 12290:13059 13314:14083 14338:15107 15362:16131" s="77" customFormat="1" x14ac:dyDescent="0.3">
      <c r="A2101" s="36"/>
      <c r="B2101" s="37"/>
      <c r="C2101" s="75" t="s">
        <v>1292</v>
      </c>
      <c r="D2101" s="76" t="s">
        <v>22</v>
      </c>
      <c r="E2101" s="73">
        <v>1</v>
      </c>
      <c r="F2101" s="74">
        <v>20000</v>
      </c>
      <c r="G2101" s="40">
        <f>E2101*F2101</f>
        <v>20000</v>
      </c>
      <c r="H2101" s="52"/>
    </row>
    <row r="2102" spans="1:771 1026:1795 2050:2819 3074:3843 4098:4867 5122:5891 6146:6915 7170:7939 8194:8963 9218:9987 10242:11011 11266:12035 12290:13059 13314:14083 14338:15107 15362:16131" s="77" customFormat="1" x14ac:dyDescent="0.3">
      <c r="A2102" s="36"/>
      <c r="B2102" s="37"/>
      <c r="C2102" s="75" t="s">
        <v>311</v>
      </c>
      <c r="D2102" s="76" t="s">
        <v>22</v>
      </c>
      <c r="E2102" s="73">
        <v>2</v>
      </c>
      <c r="F2102" s="74">
        <v>20000</v>
      </c>
      <c r="G2102" s="40">
        <f>E2102*F2102</f>
        <v>40000</v>
      </c>
      <c r="H2102" s="52"/>
    </row>
    <row r="2103" spans="1:771 1026:1795 2050:2819 3074:3843 4098:4867 5122:5891 6146:6915 7170:7939 8194:8963 9218:9987 10242:11011 11266:12035 12290:13059 13314:14083 14338:15107 15362:16131" s="77" customFormat="1" x14ac:dyDescent="0.3">
      <c r="A2103" s="36"/>
      <c r="B2103" s="37"/>
      <c r="C2103" s="75" t="s">
        <v>36</v>
      </c>
      <c r="D2103" s="76" t="s">
        <v>22</v>
      </c>
      <c r="E2103" s="73">
        <v>5</v>
      </c>
      <c r="F2103" s="74">
        <v>4000</v>
      </c>
      <c r="G2103" s="40">
        <f>E2103*F2103</f>
        <v>20000</v>
      </c>
      <c r="H2103" s="52"/>
    </row>
    <row r="2104" spans="1:771 1026:1795 2050:2819 3074:3843 4098:4867 5122:5891 6146:6915 7170:7939 8194:8963 9218:9987 10242:11011 11266:12035 12290:13059 13314:14083 14338:15107 15362:16131" s="35" customFormat="1" x14ac:dyDescent="0.3">
      <c r="A2104" s="36"/>
      <c r="B2104" s="46"/>
      <c r="C2104" s="51" t="s">
        <v>23</v>
      </c>
      <c r="D2104" s="39"/>
      <c r="E2104" s="1"/>
      <c r="F2104" s="2"/>
      <c r="G2104" s="41">
        <f>SUM(G2105)</f>
        <v>3060000</v>
      </c>
      <c r="H2104" s="52"/>
    </row>
    <row r="2105" spans="1:771 1026:1795 2050:2819 3074:3843 4098:4867 5122:5891 6146:6915 7170:7939 8194:8963 9218:9987 10242:11011 11266:12035 12290:13059 13314:14083 14338:15107 15362:16131" s="35" customFormat="1" x14ac:dyDescent="0.3">
      <c r="A2105" s="36"/>
      <c r="B2105" s="46"/>
      <c r="C2105" s="50" t="s">
        <v>24</v>
      </c>
      <c r="D2105" s="39" t="s">
        <v>25</v>
      </c>
      <c r="E2105" s="1">
        <f>1*30*6</f>
        <v>180</v>
      </c>
      <c r="F2105" s="2">
        <v>17000</v>
      </c>
      <c r="G2105" s="40">
        <f>E2105*F2105</f>
        <v>3060000</v>
      </c>
      <c r="H2105" s="42"/>
    </row>
    <row r="2106" spans="1:771 1026:1795 2050:2819 3074:3843 4098:4867 5122:5891 6146:6915 7170:7939 8194:8963 9218:9987 10242:11011 11266:12035 12290:13059 13314:14083 14338:15107 15362:16131" s="35" customFormat="1" ht="65.400000000000006" thickBot="1" x14ac:dyDescent="0.35">
      <c r="A2106" s="53"/>
      <c r="B2106" s="54"/>
      <c r="C2106" s="55" t="s">
        <v>2331</v>
      </c>
      <c r="D2106" s="56"/>
      <c r="E2106" s="5"/>
      <c r="F2106" s="6"/>
      <c r="G2106" s="57"/>
      <c r="H2106" s="58"/>
    </row>
    <row r="2107" spans="1:771 1026:1795 2050:2819 3074:3843 4098:4867 5122:5891 6146:6915 7170:7939 8194:8963 9218:9987 10242:11011 11266:12035 12290:13059 13314:14083 14338:15107 15362:16131" s="59" customFormat="1" ht="31.8" thickBot="1" x14ac:dyDescent="0.35">
      <c r="A2107" s="154"/>
      <c r="B2107" s="155" t="s">
        <v>26</v>
      </c>
      <c r="C2107" s="156"/>
      <c r="D2107" s="154"/>
      <c r="E2107" s="157"/>
      <c r="F2107" s="158"/>
      <c r="G2107" s="159">
        <f>SUM(G2095:G2106)/2</f>
        <v>111931680</v>
      </c>
      <c r="H2107" s="160"/>
      <c r="IX2107" s="35"/>
      <c r="IY2107" s="35"/>
      <c r="ST2107" s="35"/>
      <c r="SU2107" s="35"/>
      <c r="ACP2107" s="35"/>
      <c r="ACQ2107" s="35"/>
      <c r="AML2107" s="35"/>
      <c r="AMM2107" s="35"/>
      <c r="AWH2107" s="35"/>
      <c r="AWI2107" s="35"/>
      <c r="BGD2107" s="35"/>
      <c r="BGE2107" s="35"/>
      <c r="BPZ2107" s="35"/>
      <c r="BQA2107" s="35"/>
      <c r="BZV2107" s="35"/>
      <c r="BZW2107" s="35"/>
      <c r="CJR2107" s="35"/>
      <c r="CJS2107" s="35"/>
      <c r="CTN2107" s="35"/>
      <c r="CTO2107" s="35"/>
      <c r="DDJ2107" s="35"/>
      <c r="DDK2107" s="35"/>
      <c r="DNF2107" s="35"/>
      <c r="DNG2107" s="35"/>
      <c r="DXB2107" s="35"/>
      <c r="DXC2107" s="35"/>
      <c r="EGX2107" s="35"/>
      <c r="EGY2107" s="35"/>
      <c r="EQT2107" s="35"/>
      <c r="EQU2107" s="35"/>
      <c r="FAP2107" s="35"/>
      <c r="FAQ2107" s="35"/>
      <c r="FKL2107" s="35"/>
      <c r="FKM2107" s="35"/>
      <c r="FUH2107" s="35"/>
      <c r="FUI2107" s="35"/>
      <c r="GED2107" s="35"/>
      <c r="GEE2107" s="35"/>
      <c r="GNZ2107" s="35"/>
      <c r="GOA2107" s="35"/>
      <c r="GXV2107" s="35"/>
      <c r="GXW2107" s="35"/>
      <c r="HHR2107" s="35"/>
      <c r="HHS2107" s="35"/>
      <c r="HRN2107" s="35"/>
      <c r="HRO2107" s="35"/>
      <c r="IBJ2107" s="35"/>
      <c r="IBK2107" s="35"/>
      <c r="ILF2107" s="35"/>
      <c r="ILG2107" s="35"/>
      <c r="IVB2107" s="35"/>
      <c r="IVC2107" s="35"/>
      <c r="JEX2107" s="35"/>
      <c r="JEY2107" s="35"/>
      <c r="JOT2107" s="35"/>
      <c r="JOU2107" s="35"/>
      <c r="JYP2107" s="35"/>
      <c r="JYQ2107" s="35"/>
      <c r="KIL2107" s="35"/>
      <c r="KIM2107" s="35"/>
      <c r="KSH2107" s="35"/>
      <c r="KSI2107" s="35"/>
      <c r="LCD2107" s="35"/>
      <c r="LCE2107" s="35"/>
      <c r="LLZ2107" s="35"/>
      <c r="LMA2107" s="35"/>
      <c r="LVV2107" s="35"/>
      <c r="LVW2107" s="35"/>
      <c r="MFR2107" s="35"/>
      <c r="MFS2107" s="35"/>
      <c r="MPN2107" s="35"/>
      <c r="MPO2107" s="35"/>
      <c r="MZJ2107" s="35"/>
      <c r="MZK2107" s="35"/>
      <c r="NJF2107" s="35"/>
      <c r="NJG2107" s="35"/>
      <c r="NTB2107" s="35"/>
      <c r="NTC2107" s="35"/>
      <c r="OCX2107" s="35"/>
      <c r="OCY2107" s="35"/>
      <c r="OMT2107" s="35"/>
      <c r="OMU2107" s="35"/>
      <c r="OWP2107" s="35"/>
      <c r="OWQ2107" s="35"/>
      <c r="PGL2107" s="35"/>
      <c r="PGM2107" s="35"/>
      <c r="PQH2107" s="35"/>
      <c r="PQI2107" s="35"/>
      <c r="QAD2107" s="35"/>
      <c r="QAE2107" s="35"/>
      <c r="QJZ2107" s="35"/>
      <c r="QKA2107" s="35"/>
      <c r="QTV2107" s="35"/>
      <c r="QTW2107" s="35"/>
      <c r="RDR2107" s="35"/>
      <c r="RDS2107" s="35"/>
      <c r="RNN2107" s="35"/>
      <c r="RNO2107" s="35"/>
      <c r="RXJ2107" s="35"/>
      <c r="RXK2107" s="35"/>
      <c r="SHF2107" s="35"/>
      <c r="SHG2107" s="35"/>
      <c r="SRB2107" s="35"/>
      <c r="SRC2107" s="35"/>
      <c r="TAX2107" s="35"/>
      <c r="TAY2107" s="35"/>
      <c r="TKT2107" s="35"/>
      <c r="TKU2107" s="35"/>
      <c r="TUP2107" s="35"/>
      <c r="TUQ2107" s="35"/>
      <c r="UEL2107" s="35"/>
      <c r="UEM2107" s="35"/>
      <c r="UOH2107" s="35"/>
      <c r="UOI2107" s="35"/>
      <c r="UYD2107" s="35"/>
      <c r="UYE2107" s="35"/>
      <c r="VHZ2107" s="35"/>
      <c r="VIA2107" s="35"/>
      <c r="VRV2107" s="35"/>
      <c r="VRW2107" s="35"/>
      <c r="WBR2107" s="35"/>
      <c r="WBS2107" s="35"/>
      <c r="WLN2107" s="35"/>
      <c r="WLO2107" s="35"/>
      <c r="WVJ2107" s="35"/>
      <c r="WVK2107" s="35"/>
    </row>
    <row r="2108" spans="1:771 1026:1795 2050:2819 3074:3843 4098:4867 5122:5891 6146:6915 7170:7939 8194:8963 9218:9987 10242:11011 11266:12035 12290:13059 13314:14083 14338:15107 15362:16131" s="35" customFormat="1" ht="55.2" x14ac:dyDescent="0.3">
      <c r="A2108" s="28">
        <v>196</v>
      </c>
      <c r="B2108" s="29" t="s">
        <v>1610</v>
      </c>
      <c r="C2108" s="30" t="s">
        <v>1614</v>
      </c>
      <c r="D2108" s="31" t="s">
        <v>13</v>
      </c>
      <c r="E2108" s="32">
        <v>13.7</v>
      </c>
      <c r="F2108" s="33"/>
      <c r="G2108" s="33"/>
      <c r="H2108" s="34" t="s">
        <v>1615</v>
      </c>
    </row>
    <row r="2109" spans="1:771 1026:1795 2050:2819 3074:3843 4098:4867 5122:5891 6146:6915 7170:7939 8194:8963 9218:9987 10242:11011 11266:12035 12290:13059 13314:14083 14338:15107 15362:16131" s="35" customFormat="1" x14ac:dyDescent="0.3">
      <c r="A2109" s="36"/>
      <c r="B2109" s="72" t="s">
        <v>1611</v>
      </c>
      <c r="C2109" s="38" t="s">
        <v>14</v>
      </c>
      <c r="D2109" s="39"/>
      <c r="E2109" s="44"/>
      <c r="F2109" s="40"/>
      <c r="G2109" s="41">
        <f>SUM(G2110)</f>
        <v>266862300</v>
      </c>
      <c r="H2109" s="42"/>
    </row>
    <row r="2110" spans="1:771 1026:1795 2050:2819 3074:3843 4098:4867 5122:5891 6146:6915 7170:7939 8194:8963 9218:9987 10242:11011 11266:12035 12290:13059 13314:14083 14338:15107 15362:16131" s="35" customFormat="1" ht="78" x14ac:dyDescent="0.3">
      <c r="A2110" s="36"/>
      <c r="B2110" s="72" t="s">
        <v>1612</v>
      </c>
      <c r="C2110" s="48" t="s">
        <v>38</v>
      </c>
      <c r="D2110" s="39" t="s">
        <v>13</v>
      </c>
      <c r="E2110" s="44">
        <v>13.7</v>
      </c>
      <c r="F2110" s="161">
        <v>19479000</v>
      </c>
      <c r="G2110" s="40">
        <f>E2110*F2110</f>
        <v>266862300</v>
      </c>
      <c r="H2110" s="42"/>
    </row>
    <row r="2111" spans="1:771 1026:1795 2050:2819 3074:3843 4098:4867 5122:5891 6146:6915 7170:7939 8194:8963 9218:9987 10242:11011 11266:12035 12290:13059 13314:14083 14338:15107 15362:16131" s="35" customFormat="1" x14ac:dyDescent="0.3">
      <c r="A2111" s="36"/>
      <c r="B2111" s="72" t="s">
        <v>1613</v>
      </c>
      <c r="C2111" s="47" t="s">
        <v>35</v>
      </c>
      <c r="D2111" s="39"/>
      <c r="E2111" s="73"/>
      <c r="F2111" s="40"/>
      <c r="G2111" s="41">
        <f>SUM(G2112:G2115)</f>
        <v>29140240</v>
      </c>
      <c r="H2111" s="45"/>
    </row>
    <row r="2112" spans="1:771 1026:1795 2050:2819 3074:3843 4098:4867 5122:5891 6146:6915 7170:7939 8194:8963 9218:9987 10242:11011 11266:12035 12290:13059 13314:14083 14338:15107 15362:16131" s="35" customFormat="1" ht="93.6" x14ac:dyDescent="0.3">
      <c r="A2112" s="36"/>
      <c r="B2112" s="38"/>
      <c r="C2112" s="66" t="s">
        <v>2228</v>
      </c>
      <c r="D2112" s="39" t="s">
        <v>13</v>
      </c>
      <c r="E2112" s="73">
        <v>5.97</v>
      </c>
      <c r="F2112" s="74">
        <v>3592000</v>
      </c>
      <c r="G2112" s="40">
        <f>E2112*F2112</f>
        <v>21444240</v>
      </c>
      <c r="H2112" s="45" t="s">
        <v>2548</v>
      </c>
    </row>
    <row r="2113" spans="1:771 1026:1795 2050:2819 3074:3843 4098:4867 5122:5891 6146:6915 7170:7939 8194:8963 9218:9987 10242:11011 11266:12035 12290:13059 13314:14083 14338:15107 15362:16131" s="35" customFormat="1" x14ac:dyDescent="0.3">
      <c r="A2113" s="36"/>
      <c r="B2113" s="38"/>
      <c r="C2113" s="66" t="s">
        <v>340</v>
      </c>
      <c r="D2113" s="39" t="s">
        <v>106</v>
      </c>
      <c r="E2113" s="73">
        <v>1</v>
      </c>
      <c r="F2113" s="40">
        <f>2976000+(236000*20)</f>
        <v>7696000</v>
      </c>
      <c r="G2113" s="40">
        <f>E2113*F2113</f>
        <v>7696000</v>
      </c>
      <c r="H2113" s="45"/>
    </row>
    <row r="2114" spans="1:771 1026:1795 2050:2819 3074:3843 4098:4867 5122:5891 6146:6915 7170:7939 8194:8963 9218:9987 10242:11011 11266:12035 12290:13059 13314:14083 14338:15107 15362:16131" s="35" customFormat="1" ht="31.2" x14ac:dyDescent="0.3">
      <c r="A2114" s="36"/>
      <c r="B2114" s="38"/>
      <c r="C2114" s="66" t="s">
        <v>1616</v>
      </c>
      <c r="D2114" s="39" t="s">
        <v>13</v>
      </c>
      <c r="E2114" s="73">
        <v>1.26</v>
      </c>
      <c r="F2114" s="74"/>
      <c r="G2114" s="40">
        <f>E2114*F2114</f>
        <v>0</v>
      </c>
      <c r="H2114" s="104" t="s">
        <v>2453</v>
      </c>
    </row>
    <row r="2115" spans="1:771 1026:1795 2050:2819 3074:3843 4098:4867 5122:5891 6146:6915 7170:7939 8194:8963 9218:9987 10242:11011 11266:12035 12290:13059 13314:14083 14338:15107 15362:16131" s="35" customFormat="1" ht="65.400000000000006" thickBot="1" x14ac:dyDescent="0.35">
      <c r="A2115" s="53"/>
      <c r="B2115" s="54"/>
      <c r="C2115" s="55" t="s">
        <v>2331</v>
      </c>
      <c r="D2115" s="56"/>
      <c r="E2115" s="5"/>
      <c r="F2115" s="6"/>
      <c r="G2115" s="57"/>
      <c r="H2115" s="58"/>
    </row>
    <row r="2116" spans="1:771 1026:1795 2050:2819 3074:3843 4098:4867 5122:5891 6146:6915 7170:7939 8194:8963 9218:9987 10242:11011 11266:12035 12290:13059 13314:14083 14338:15107 15362:16131" s="59" customFormat="1" ht="31.8" thickBot="1" x14ac:dyDescent="0.35">
      <c r="A2116" s="154"/>
      <c r="B2116" s="155" t="s">
        <v>26</v>
      </c>
      <c r="C2116" s="156"/>
      <c r="D2116" s="154"/>
      <c r="E2116" s="157"/>
      <c r="F2116" s="158"/>
      <c r="G2116" s="159">
        <f>SUM(G2108:G2115)/2</f>
        <v>296002540</v>
      </c>
      <c r="H2116" s="160"/>
      <c r="IX2116" s="35"/>
      <c r="IY2116" s="35"/>
      <c r="ST2116" s="35"/>
      <c r="SU2116" s="35"/>
      <c r="ACP2116" s="35"/>
      <c r="ACQ2116" s="35"/>
      <c r="AML2116" s="35"/>
      <c r="AMM2116" s="35"/>
      <c r="AWH2116" s="35"/>
      <c r="AWI2116" s="35"/>
      <c r="BGD2116" s="35"/>
      <c r="BGE2116" s="35"/>
      <c r="BPZ2116" s="35"/>
      <c r="BQA2116" s="35"/>
      <c r="BZV2116" s="35"/>
      <c r="BZW2116" s="35"/>
      <c r="CJR2116" s="35"/>
      <c r="CJS2116" s="35"/>
      <c r="CTN2116" s="35"/>
      <c r="CTO2116" s="35"/>
      <c r="DDJ2116" s="35"/>
      <c r="DDK2116" s="35"/>
      <c r="DNF2116" s="35"/>
      <c r="DNG2116" s="35"/>
      <c r="DXB2116" s="35"/>
      <c r="DXC2116" s="35"/>
      <c r="EGX2116" s="35"/>
      <c r="EGY2116" s="35"/>
      <c r="EQT2116" s="35"/>
      <c r="EQU2116" s="35"/>
      <c r="FAP2116" s="35"/>
      <c r="FAQ2116" s="35"/>
      <c r="FKL2116" s="35"/>
      <c r="FKM2116" s="35"/>
      <c r="FUH2116" s="35"/>
      <c r="FUI2116" s="35"/>
      <c r="GED2116" s="35"/>
      <c r="GEE2116" s="35"/>
      <c r="GNZ2116" s="35"/>
      <c r="GOA2116" s="35"/>
      <c r="GXV2116" s="35"/>
      <c r="GXW2116" s="35"/>
      <c r="HHR2116" s="35"/>
      <c r="HHS2116" s="35"/>
      <c r="HRN2116" s="35"/>
      <c r="HRO2116" s="35"/>
      <c r="IBJ2116" s="35"/>
      <c r="IBK2116" s="35"/>
      <c r="ILF2116" s="35"/>
      <c r="ILG2116" s="35"/>
      <c r="IVB2116" s="35"/>
      <c r="IVC2116" s="35"/>
      <c r="JEX2116" s="35"/>
      <c r="JEY2116" s="35"/>
      <c r="JOT2116" s="35"/>
      <c r="JOU2116" s="35"/>
      <c r="JYP2116" s="35"/>
      <c r="JYQ2116" s="35"/>
      <c r="KIL2116" s="35"/>
      <c r="KIM2116" s="35"/>
      <c r="KSH2116" s="35"/>
      <c r="KSI2116" s="35"/>
      <c r="LCD2116" s="35"/>
      <c r="LCE2116" s="35"/>
      <c r="LLZ2116" s="35"/>
      <c r="LMA2116" s="35"/>
      <c r="LVV2116" s="35"/>
      <c r="LVW2116" s="35"/>
      <c r="MFR2116" s="35"/>
      <c r="MFS2116" s="35"/>
      <c r="MPN2116" s="35"/>
      <c r="MPO2116" s="35"/>
      <c r="MZJ2116" s="35"/>
      <c r="MZK2116" s="35"/>
      <c r="NJF2116" s="35"/>
      <c r="NJG2116" s="35"/>
      <c r="NTB2116" s="35"/>
      <c r="NTC2116" s="35"/>
      <c r="OCX2116" s="35"/>
      <c r="OCY2116" s="35"/>
      <c r="OMT2116" s="35"/>
      <c r="OMU2116" s="35"/>
      <c r="OWP2116" s="35"/>
      <c r="OWQ2116" s="35"/>
      <c r="PGL2116" s="35"/>
      <c r="PGM2116" s="35"/>
      <c r="PQH2116" s="35"/>
      <c r="PQI2116" s="35"/>
      <c r="QAD2116" s="35"/>
      <c r="QAE2116" s="35"/>
      <c r="QJZ2116" s="35"/>
      <c r="QKA2116" s="35"/>
      <c r="QTV2116" s="35"/>
      <c r="QTW2116" s="35"/>
      <c r="RDR2116" s="35"/>
      <c r="RDS2116" s="35"/>
      <c r="RNN2116" s="35"/>
      <c r="RNO2116" s="35"/>
      <c r="RXJ2116" s="35"/>
      <c r="RXK2116" s="35"/>
      <c r="SHF2116" s="35"/>
      <c r="SHG2116" s="35"/>
      <c r="SRB2116" s="35"/>
      <c r="SRC2116" s="35"/>
      <c r="TAX2116" s="35"/>
      <c r="TAY2116" s="35"/>
      <c r="TKT2116" s="35"/>
      <c r="TKU2116" s="35"/>
      <c r="TUP2116" s="35"/>
      <c r="TUQ2116" s="35"/>
      <c r="UEL2116" s="35"/>
      <c r="UEM2116" s="35"/>
      <c r="UOH2116" s="35"/>
      <c r="UOI2116" s="35"/>
      <c r="UYD2116" s="35"/>
      <c r="UYE2116" s="35"/>
      <c r="VHZ2116" s="35"/>
      <c r="VIA2116" s="35"/>
      <c r="VRV2116" s="35"/>
      <c r="VRW2116" s="35"/>
      <c r="WBR2116" s="35"/>
      <c r="WBS2116" s="35"/>
      <c r="WLN2116" s="35"/>
      <c r="WLO2116" s="35"/>
      <c r="WVJ2116" s="35"/>
      <c r="WVK2116" s="35"/>
    </row>
    <row r="2117" spans="1:771 1026:1795 2050:2819 3074:3843 4098:4867 5122:5891 6146:6915 7170:7939 8194:8963 9218:9987 10242:11011 11266:12035 12290:13059 13314:14083 14338:15107 15362:16131" s="35" customFormat="1" ht="55.2" x14ac:dyDescent="0.3">
      <c r="A2117" s="28">
        <v>197</v>
      </c>
      <c r="B2117" s="29" t="s">
        <v>1617</v>
      </c>
      <c r="C2117" s="30" t="s">
        <v>1621</v>
      </c>
      <c r="D2117" s="31" t="s">
        <v>13</v>
      </c>
      <c r="E2117" s="32">
        <v>5.9</v>
      </c>
      <c r="F2117" s="33"/>
      <c r="G2117" s="33"/>
      <c r="H2117" s="34" t="s">
        <v>1622</v>
      </c>
    </row>
    <row r="2118" spans="1:771 1026:1795 2050:2819 3074:3843 4098:4867 5122:5891 6146:6915 7170:7939 8194:8963 9218:9987 10242:11011 11266:12035 12290:13059 13314:14083 14338:15107 15362:16131" s="35" customFormat="1" x14ac:dyDescent="0.3">
      <c r="A2118" s="36"/>
      <c r="B2118" s="72" t="s">
        <v>1618</v>
      </c>
      <c r="C2118" s="38" t="s">
        <v>14</v>
      </c>
      <c r="D2118" s="39"/>
      <c r="E2118" s="44"/>
      <c r="F2118" s="40"/>
      <c r="G2118" s="41">
        <f>SUM(G2119)</f>
        <v>114926100</v>
      </c>
      <c r="H2118" s="42"/>
    </row>
    <row r="2119" spans="1:771 1026:1795 2050:2819 3074:3843 4098:4867 5122:5891 6146:6915 7170:7939 8194:8963 9218:9987 10242:11011 11266:12035 12290:13059 13314:14083 14338:15107 15362:16131" s="35" customFormat="1" ht="46.8" x14ac:dyDescent="0.3">
      <c r="A2119" s="36"/>
      <c r="B2119" s="72" t="s">
        <v>1619</v>
      </c>
      <c r="C2119" s="48" t="s">
        <v>38</v>
      </c>
      <c r="D2119" s="39" t="s">
        <v>13</v>
      </c>
      <c r="E2119" s="44">
        <v>5.9</v>
      </c>
      <c r="F2119" s="161">
        <v>19479000</v>
      </c>
      <c r="G2119" s="40">
        <f>E2119*F2119</f>
        <v>114926100</v>
      </c>
      <c r="H2119" s="42"/>
    </row>
    <row r="2120" spans="1:771 1026:1795 2050:2819 3074:3843 4098:4867 5122:5891 6146:6915 7170:7939 8194:8963 9218:9987 10242:11011 11266:12035 12290:13059 13314:14083 14338:15107 15362:16131" s="35" customFormat="1" x14ac:dyDescent="0.3">
      <c r="A2120" s="36"/>
      <c r="B2120" s="72" t="s">
        <v>1620</v>
      </c>
      <c r="C2120" s="47" t="s">
        <v>35</v>
      </c>
      <c r="D2120" s="39"/>
      <c r="E2120" s="73"/>
      <c r="F2120" s="40"/>
      <c r="G2120" s="41">
        <f>SUM(G2121:G2123)</f>
        <v>977024.00000000012</v>
      </c>
      <c r="H2120" s="45"/>
    </row>
    <row r="2121" spans="1:771 1026:1795 2050:2819 3074:3843 4098:4867 5122:5891 6146:6915 7170:7939 8194:8963 9218:9987 10242:11011 11266:12035 12290:13059 13314:14083 14338:15107 15362:16131" s="35" customFormat="1" ht="55.2" x14ac:dyDescent="0.3">
      <c r="A2121" s="36"/>
      <c r="B2121" s="38"/>
      <c r="C2121" s="101" t="s">
        <v>1623</v>
      </c>
      <c r="D2121" s="39" t="s">
        <v>13</v>
      </c>
      <c r="E2121" s="73">
        <f>0.544/2</f>
        <v>0.27200000000000002</v>
      </c>
      <c r="F2121" s="74">
        <v>3592000</v>
      </c>
      <c r="G2121" s="40">
        <f>E2121*F2121</f>
        <v>977024.00000000012</v>
      </c>
      <c r="H2121" s="45" t="s">
        <v>2549</v>
      </c>
    </row>
    <row r="2122" spans="1:771 1026:1795 2050:2819 3074:3843 4098:4867 5122:5891 6146:6915 7170:7939 8194:8963 9218:9987 10242:11011 11266:12035 12290:13059 13314:14083 14338:15107 15362:16131" s="35" customFormat="1" ht="31.2" x14ac:dyDescent="0.3">
      <c r="A2122" s="36"/>
      <c r="B2122" s="38"/>
      <c r="C2122" s="66" t="s">
        <v>1624</v>
      </c>
      <c r="D2122" s="39" t="s">
        <v>13</v>
      </c>
      <c r="E2122" s="73">
        <f>(2.1*3.83)-(0.5*0.34*1.6)</f>
        <v>7.7710000000000008</v>
      </c>
      <c r="F2122" s="74"/>
      <c r="G2122" s="40">
        <f>E2122*F2122</f>
        <v>0</v>
      </c>
      <c r="H2122" s="104" t="s">
        <v>2453</v>
      </c>
    </row>
    <row r="2123" spans="1:771 1026:1795 2050:2819 3074:3843 4098:4867 5122:5891 6146:6915 7170:7939 8194:8963 9218:9987 10242:11011 11266:12035 12290:13059 13314:14083 14338:15107 15362:16131" s="35" customFormat="1" ht="65.400000000000006" thickBot="1" x14ac:dyDescent="0.35">
      <c r="A2123" s="53"/>
      <c r="B2123" s="54"/>
      <c r="C2123" s="55" t="s">
        <v>2331</v>
      </c>
      <c r="D2123" s="56"/>
      <c r="E2123" s="5"/>
      <c r="F2123" s="6"/>
      <c r="G2123" s="57"/>
      <c r="H2123" s="58"/>
    </row>
    <row r="2124" spans="1:771 1026:1795 2050:2819 3074:3843 4098:4867 5122:5891 6146:6915 7170:7939 8194:8963 9218:9987 10242:11011 11266:12035 12290:13059 13314:14083 14338:15107 15362:16131" s="59" customFormat="1" ht="31.8" thickBot="1" x14ac:dyDescent="0.35">
      <c r="A2124" s="154"/>
      <c r="B2124" s="155" t="s">
        <v>26</v>
      </c>
      <c r="C2124" s="156"/>
      <c r="D2124" s="154"/>
      <c r="E2124" s="157"/>
      <c r="F2124" s="158"/>
      <c r="G2124" s="159">
        <f>SUM(G2117:G2123)/2</f>
        <v>115903124</v>
      </c>
      <c r="H2124" s="160"/>
      <c r="IX2124" s="35"/>
      <c r="IY2124" s="35"/>
      <c r="ST2124" s="35"/>
      <c r="SU2124" s="35"/>
      <c r="ACP2124" s="35"/>
      <c r="ACQ2124" s="35"/>
      <c r="AML2124" s="35"/>
      <c r="AMM2124" s="35"/>
      <c r="AWH2124" s="35"/>
      <c r="AWI2124" s="35"/>
      <c r="BGD2124" s="35"/>
      <c r="BGE2124" s="35"/>
      <c r="BPZ2124" s="35"/>
      <c r="BQA2124" s="35"/>
      <c r="BZV2124" s="35"/>
      <c r="BZW2124" s="35"/>
      <c r="CJR2124" s="35"/>
      <c r="CJS2124" s="35"/>
      <c r="CTN2124" s="35"/>
      <c r="CTO2124" s="35"/>
      <c r="DDJ2124" s="35"/>
      <c r="DDK2124" s="35"/>
      <c r="DNF2124" s="35"/>
      <c r="DNG2124" s="35"/>
      <c r="DXB2124" s="35"/>
      <c r="DXC2124" s="35"/>
      <c r="EGX2124" s="35"/>
      <c r="EGY2124" s="35"/>
      <c r="EQT2124" s="35"/>
      <c r="EQU2124" s="35"/>
      <c r="FAP2124" s="35"/>
      <c r="FAQ2124" s="35"/>
      <c r="FKL2124" s="35"/>
      <c r="FKM2124" s="35"/>
      <c r="FUH2124" s="35"/>
      <c r="FUI2124" s="35"/>
      <c r="GED2124" s="35"/>
      <c r="GEE2124" s="35"/>
      <c r="GNZ2124" s="35"/>
      <c r="GOA2124" s="35"/>
      <c r="GXV2124" s="35"/>
      <c r="GXW2124" s="35"/>
      <c r="HHR2124" s="35"/>
      <c r="HHS2124" s="35"/>
      <c r="HRN2124" s="35"/>
      <c r="HRO2124" s="35"/>
      <c r="IBJ2124" s="35"/>
      <c r="IBK2124" s="35"/>
      <c r="ILF2124" s="35"/>
      <c r="ILG2124" s="35"/>
      <c r="IVB2124" s="35"/>
      <c r="IVC2124" s="35"/>
      <c r="JEX2124" s="35"/>
      <c r="JEY2124" s="35"/>
      <c r="JOT2124" s="35"/>
      <c r="JOU2124" s="35"/>
      <c r="JYP2124" s="35"/>
      <c r="JYQ2124" s="35"/>
      <c r="KIL2124" s="35"/>
      <c r="KIM2124" s="35"/>
      <c r="KSH2124" s="35"/>
      <c r="KSI2124" s="35"/>
      <c r="LCD2124" s="35"/>
      <c r="LCE2124" s="35"/>
      <c r="LLZ2124" s="35"/>
      <c r="LMA2124" s="35"/>
      <c r="LVV2124" s="35"/>
      <c r="LVW2124" s="35"/>
      <c r="MFR2124" s="35"/>
      <c r="MFS2124" s="35"/>
      <c r="MPN2124" s="35"/>
      <c r="MPO2124" s="35"/>
      <c r="MZJ2124" s="35"/>
      <c r="MZK2124" s="35"/>
      <c r="NJF2124" s="35"/>
      <c r="NJG2124" s="35"/>
      <c r="NTB2124" s="35"/>
      <c r="NTC2124" s="35"/>
      <c r="OCX2124" s="35"/>
      <c r="OCY2124" s="35"/>
      <c r="OMT2124" s="35"/>
      <c r="OMU2124" s="35"/>
      <c r="OWP2124" s="35"/>
      <c r="OWQ2124" s="35"/>
      <c r="PGL2124" s="35"/>
      <c r="PGM2124" s="35"/>
      <c r="PQH2124" s="35"/>
      <c r="PQI2124" s="35"/>
      <c r="QAD2124" s="35"/>
      <c r="QAE2124" s="35"/>
      <c r="QJZ2124" s="35"/>
      <c r="QKA2124" s="35"/>
      <c r="QTV2124" s="35"/>
      <c r="QTW2124" s="35"/>
      <c r="RDR2124" s="35"/>
      <c r="RDS2124" s="35"/>
      <c r="RNN2124" s="35"/>
      <c r="RNO2124" s="35"/>
      <c r="RXJ2124" s="35"/>
      <c r="RXK2124" s="35"/>
      <c r="SHF2124" s="35"/>
      <c r="SHG2124" s="35"/>
      <c r="SRB2124" s="35"/>
      <c r="SRC2124" s="35"/>
      <c r="TAX2124" s="35"/>
      <c r="TAY2124" s="35"/>
      <c r="TKT2124" s="35"/>
      <c r="TKU2124" s="35"/>
      <c r="TUP2124" s="35"/>
      <c r="TUQ2124" s="35"/>
      <c r="UEL2124" s="35"/>
      <c r="UEM2124" s="35"/>
      <c r="UOH2124" s="35"/>
      <c r="UOI2124" s="35"/>
      <c r="UYD2124" s="35"/>
      <c r="UYE2124" s="35"/>
      <c r="VHZ2124" s="35"/>
      <c r="VIA2124" s="35"/>
      <c r="VRV2124" s="35"/>
      <c r="VRW2124" s="35"/>
      <c r="WBR2124" s="35"/>
      <c r="WBS2124" s="35"/>
      <c r="WLN2124" s="35"/>
      <c r="WLO2124" s="35"/>
      <c r="WVJ2124" s="35"/>
      <c r="WVK2124" s="35"/>
    </row>
    <row r="2125" spans="1:771 1026:1795 2050:2819 3074:3843 4098:4867 5122:5891 6146:6915 7170:7939 8194:8963 9218:9987 10242:11011 11266:12035 12290:13059 13314:14083 14338:15107 15362:16131" s="35" customFormat="1" ht="55.2" x14ac:dyDescent="0.3">
      <c r="A2125" s="28">
        <v>198</v>
      </c>
      <c r="B2125" s="29" t="s">
        <v>1625</v>
      </c>
      <c r="C2125" s="30" t="s">
        <v>2229</v>
      </c>
      <c r="D2125" s="31" t="s">
        <v>13</v>
      </c>
      <c r="E2125" s="32">
        <v>6.7</v>
      </c>
      <c r="F2125" s="33"/>
      <c r="G2125" s="33"/>
      <c r="H2125" s="34" t="s">
        <v>1629</v>
      </c>
    </row>
    <row r="2126" spans="1:771 1026:1795 2050:2819 3074:3843 4098:4867 5122:5891 6146:6915 7170:7939 8194:8963 9218:9987 10242:11011 11266:12035 12290:13059 13314:14083 14338:15107 15362:16131" s="35" customFormat="1" x14ac:dyDescent="0.3">
      <c r="A2126" s="36"/>
      <c r="B2126" s="72" t="s">
        <v>1626</v>
      </c>
      <c r="C2126" s="38" t="s">
        <v>14</v>
      </c>
      <c r="D2126" s="39"/>
      <c r="E2126" s="44"/>
      <c r="F2126" s="40"/>
      <c r="G2126" s="41">
        <f>SUM(G2127)</f>
        <v>130509300</v>
      </c>
      <c r="H2126" s="42"/>
    </row>
    <row r="2127" spans="1:771 1026:1795 2050:2819 3074:3843 4098:4867 5122:5891 6146:6915 7170:7939 8194:8963 9218:9987 10242:11011 11266:12035 12290:13059 13314:14083 14338:15107 15362:16131" s="35" customFormat="1" ht="62.4" x14ac:dyDescent="0.3">
      <c r="A2127" s="36"/>
      <c r="B2127" s="72" t="s">
        <v>1627</v>
      </c>
      <c r="C2127" s="48" t="s">
        <v>38</v>
      </c>
      <c r="D2127" s="39" t="s">
        <v>13</v>
      </c>
      <c r="E2127" s="44">
        <v>6.7</v>
      </c>
      <c r="F2127" s="161">
        <v>19479000</v>
      </c>
      <c r="G2127" s="40">
        <f>E2127*F2127</f>
        <v>130509300</v>
      </c>
      <c r="H2127" s="42"/>
    </row>
    <row r="2128" spans="1:771 1026:1795 2050:2819 3074:3843 4098:4867 5122:5891 6146:6915 7170:7939 8194:8963 9218:9987 10242:11011 11266:12035 12290:13059 13314:14083 14338:15107 15362:16131" s="35" customFormat="1" x14ac:dyDescent="0.3">
      <c r="A2128" s="36"/>
      <c r="B2128" s="72" t="s">
        <v>1628</v>
      </c>
      <c r="C2128" s="47" t="s">
        <v>35</v>
      </c>
      <c r="D2128" s="39"/>
      <c r="E2128" s="73"/>
      <c r="F2128" s="40"/>
      <c r="G2128" s="41">
        <f>SUM(G2129:G2132)</f>
        <v>7382270</v>
      </c>
      <c r="H2128" s="45"/>
    </row>
    <row r="2129" spans="1:771 1026:1795 2050:2819 3074:3843 4098:4867 5122:5891 6146:6915 7170:7939 8194:8963 9218:9987 10242:11011 11266:12035 12290:13059 13314:14083 14338:15107 15362:16131" s="35" customFormat="1" ht="18.600000000000001" x14ac:dyDescent="0.3">
      <c r="A2129" s="36"/>
      <c r="B2129" s="38"/>
      <c r="C2129" s="66" t="s">
        <v>115</v>
      </c>
      <c r="D2129" s="39" t="s">
        <v>13</v>
      </c>
      <c r="E2129" s="73">
        <f>1.65*5.47</f>
        <v>9.0254999999999992</v>
      </c>
      <c r="F2129" s="40">
        <v>100000</v>
      </c>
      <c r="G2129" s="40">
        <f>E2129*F2129</f>
        <v>902549.99999999988</v>
      </c>
      <c r="H2129" s="45"/>
    </row>
    <row r="2130" spans="1:771 1026:1795 2050:2819 3074:3843 4098:4867 5122:5891 6146:6915 7170:7939 8194:8963 9218:9987 10242:11011 11266:12035 12290:13059 13314:14083 14338:15107 15362:16131" s="35" customFormat="1" ht="55.2" x14ac:dyDescent="0.3">
      <c r="A2130" s="36"/>
      <c r="B2130" s="38"/>
      <c r="C2130" s="66" t="s">
        <v>1630</v>
      </c>
      <c r="D2130" s="39" t="s">
        <v>13</v>
      </c>
      <c r="E2130" s="73">
        <v>4.29</v>
      </c>
      <c r="F2130" s="74"/>
      <c r="G2130" s="40">
        <f>E2130*F2130</f>
        <v>0</v>
      </c>
      <c r="H2130" s="45" t="s">
        <v>2550</v>
      </c>
    </row>
    <row r="2131" spans="1:771 1026:1795 2050:2819 3074:3843 4098:4867 5122:5891 6146:6915 7170:7939 8194:8963 9218:9987 10242:11011 11266:12035 12290:13059 13314:14083 14338:15107 15362:16131" s="35" customFormat="1" ht="31.2" x14ac:dyDescent="0.3">
      <c r="A2131" s="36"/>
      <c r="B2131" s="38"/>
      <c r="C2131" s="66" t="s">
        <v>1631</v>
      </c>
      <c r="D2131" s="39" t="s">
        <v>13</v>
      </c>
      <c r="E2131" s="73">
        <v>8.84</v>
      </c>
      <c r="F2131" s="74">
        <v>733000</v>
      </c>
      <c r="G2131" s="40">
        <f>E2131*F2131</f>
        <v>6479720</v>
      </c>
      <c r="H2131" s="45"/>
    </row>
    <row r="2132" spans="1:771 1026:1795 2050:2819 3074:3843 4098:4867 5122:5891 6146:6915 7170:7939 8194:8963 9218:9987 10242:11011 11266:12035 12290:13059 13314:14083 14338:15107 15362:16131" s="35" customFormat="1" ht="65.400000000000006" thickBot="1" x14ac:dyDescent="0.35">
      <c r="A2132" s="53"/>
      <c r="B2132" s="54"/>
      <c r="C2132" s="55" t="s">
        <v>2331</v>
      </c>
      <c r="D2132" s="56"/>
      <c r="E2132" s="5"/>
      <c r="F2132" s="6"/>
      <c r="G2132" s="57"/>
      <c r="H2132" s="58"/>
    </row>
    <row r="2133" spans="1:771 1026:1795 2050:2819 3074:3843 4098:4867 5122:5891 6146:6915 7170:7939 8194:8963 9218:9987 10242:11011 11266:12035 12290:13059 13314:14083 14338:15107 15362:16131" s="59" customFormat="1" ht="31.8" thickBot="1" x14ac:dyDescent="0.35">
      <c r="A2133" s="154"/>
      <c r="B2133" s="155" t="s">
        <v>26</v>
      </c>
      <c r="C2133" s="156"/>
      <c r="D2133" s="154"/>
      <c r="E2133" s="157"/>
      <c r="F2133" s="158"/>
      <c r="G2133" s="159">
        <f>SUM(G2125:G2132)/2</f>
        <v>137891570</v>
      </c>
      <c r="H2133" s="160"/>
      <c r="IX2133" s="35"/>
      <c r="IY2133" s="35"/>
      <c r="ST2133" s="35"/>
      <c r="SU2133" s="35"/>
      <c r="ACP2133" s="35"/>
      <c r="ACQ2133" s="35"/>
      <c r="AML2133" s="35"/>
      <c r="AMM2133" s="35"/>
      <c r="AWH2133" s="35"/>
      <c r="AWI2133" s="35"/>
      <c r="BGD2133" s="35"/>
      <c r="BGE2133" s="35"/>
      <c r="BPZ2133" s="35"/>
      <c r="BQA2133" s="35"/>
      <c r="BZV2133" s="35"/>
      <c r="BZW2133" s="35"/>
      <c r="CJR2133" s="35"/>
      <c r="CJS2133" s="35"/>
      <c r="CTN2133" s="35"/>
      <c r="CTO2133" s="35"/>
      <c r="DDJ2133" s="35"/>
      <c r="DDK2133" s="35"/>
      <c r="DNF2133" s="35"/>
      <c r="DNG2133" s="35"/>
      <c r="DXB2133" s="35"/>
      <c r="DXC2133" s="35"/>
      <c r="EGX2133" s="35"/>
      <c r="EGY2133" s="35"/>
      <c r="EQT2133" s="35"/>
      <c r="EQU2133" s="35"/>
      <c r="FAP2133" s="35"/>
      <c r="FAQ2133" s="35"/>
      <c r="FKL2133" s="35"/>
      <c r="FKM2133" s="35"/>
      <c r="FUH2133" s="35"/>
      <c r="FUI2133" s="35"/>
      <c r="GED2133" s="35"/>
      <c r="GEE2133" s="35"/>
      <c r="GNZ2133" s="35"/>
      <c r="GOA2133" s="35"/>
      <c r="GXV2133" s="35"/>
      <c r="GXW2133" s="35"/>
      <c r="HHR2133" s="35"/>
      <c r="HHS2133" s="35"/>
      <c r="HRN2133" s="35"/>
      <c r="HRO2133" s="35"/>
      <c r="IBJ2133" s="35"/>
      <c r="IBK2133" s="35"/>
      <c r="ILF2133" s="35"/>
      <c r="ILG2133" s="35"/>
      <c r="IVB2133" s="35"/>
      <c r="IVC2133" s="35"/>
      <c r="JEX2133" s="35"/>
      <c r="JEY2133" s="35"/>
      <c r="JOT2133" s="35"/>
      <c r="JOU2133" s="35"/>
      <c r="JYP2133" s="35"/>
      <c r="JYQ2133" s="35"/>
      <c r="KIL2133" s="35"/>
      <c r="KIM2133" s="35"/>
      <c r="KSH2133" s="35"/>
      <c r="KSI2133" s="35"/>
      <c r="LCD2133" s="35"/>
      <c r="LCE2133" s="35"/>
      <c r="LLZ2133" s="35"/>
      <c r="LMA2133" s="35"/>
      <c r="LVV2133" s="35"/>
      <c r="LVW2133" s="35"/>
      <c r="MFR2133" s="35"/>
      <c r="MFS2133" s="35"/>
      <c r="MPN2133" s="35"/>
      <c r="MPO2133" s="35"/>
      <c r="MZJ2133" s="35"/>
      <c r="MZK2133" s="35"/>
      <c r="NJF2133" s="35"/>
      <c r="NJG2133" s="35"/>
      <c r="NTB2133" s="35"/>
      <c r="NTC2133" s="35"/>
      <c r="OCX2133" s="35"/>
      <c r="OCY2133" s="35"/>
      <c r="OMT2133" s="35"/>
      <c r="OMU2133" s="35"/>
      <c r="OWP2133" s="35"/>
      <c r="OWQ2133" s="35"/>
      <c r="PGL2133" s="35"/>
      <c r="PGM2133" s="35"/>
      <c r="PQH2133" s="35"/>
      <c r="PQI2133" s="35"/>
      <c r="QAD2133" s="35"/>
      <c r="QAE2133" s="35"/>
      <c r="QJZ2133" s="35"/>
      <c r="QKA2133" s="35"/>
      <c r="QTV2133" s="35"/>
      <c r="QTW2133" s="35"/>
      <c r="RDR2133" s="35"/>
      <c r="RDS2133" s="35"/>
      <c r="RNN2133" s="35"/>
      <c r="RNO2133" s="35"/>
      <c r="RXJ2133" s="35"/>
      <c r="RXK2133" s="35"/>
      <c r="SHF2133" s="35"/>
      <c r="SHG2133" s="35"/>
      <c r="SRB2133" s="35"/>
      <c r="SRC2133" s="35"/>
      <c r="TAX2133" s="35"/>
      <c r="TAY2133" s="35"/>
      <c r="TKT2133" s="35"/>
      <c r="TKU2133" s="35"/>
      <c r="TUP2133" s="35"/>
      <c r="TUQ2133" s="35"/>
      <c r="UEL2133" s="35"/>
      <c r="UEM2133" s="35"/>
      <c r="UOH2133" s="35"/>
      <c r="UOI2133" s="35"/>
      <c r="UYD2133" s="35"/>
      <c r="UYE2133" s="35"/>
      <c r="VHZ2133" s="35"/>
      <c r="VIA2133" s="35"/>
      <c r="VRV2133" s="35"/>
      <c r="VRW2133" s="35"/>
      <c r="WBR2133" s="35"/>
      <c r="WBS2133" s="35"/>
      <c r="WLN2133" s="35"/>
      <c r="WLO2133" s="35"/>
      <c r="WVJ2133" s="35"/>
      <c r="WVK2133" s="35"/>
    </row>
    <row r="2134" spans="1:771 1026:1795 2050:2819 3074:3843 4098:4867 5122:5891 6146:6915 7170:7939 8194:8963 9218:9987 10242:11011 11266:12035 12290:13059 13314:14083 14338:15107 15362:16131" s="35" customFormat="1" ht="55.2" x14ac:dyDescent="0.3">
      <c r="A2134" s="28">
        <v>199</v>
      </c>
      <c r="B2134" s="29" t="s">
        <v>1632</v>
      </c>
      <c r="C2134" s="30" t="s">
        <v>1635</v>
      </c>
      <c r="D2134" s="31" t="s">
        <v>13</v>
      </c>
      <c r="E2134" s="32">
        <v>10.8</v>
      </c>
      <c r="F2134" s="33"/>
      <c r="G2134" s="33"/>
      <c r="H2134" s="34" t="s">
        <v>2230</v>
      </c>
    </row>
    <row r="2135" spans="1:771 1026:1795 2050:2819 3074:3843 4098:4867 5122:5891 6146:6915 7170:7939 8194:8963 9218:9987 10242:11011 11266:12035 12290:13059 13314:14083 14338:15107 15362:16131" s="35" customFormat="1" x14ac:dyDescent="0.3">
      <c r="A2135" s="36"/>
      <c r="B2135" s="72" t="s">
        <v>1634</v>
      </c>
      <c r="C2135" s="38" t="s">
        <v>14</v>
      </c>
      <c r="D2135" s="39"/>
      <c r="E2135" s="44"/>
      <c r="F2135" s="40"/>
      <c r="G2135" s="41">
        <f>SUM(G2136)</f>
        <v>112363200</v>
      </c>
      <c r="H2135" s="42"/>
    </row>
    <row r="2136" spans="1:771 1026:1795 2050:2819 3074:3843 4098:4867 5122:5891 6146:6915 7170:7939 8194:8963 9218:9987 10242:11011 11266:12035 12290:13059 13314:14083 14338:15107 15362:16131" s="35" customFormat="1" ht="78" x14ac:dyDescent="0.3">
      <c r="A2136" s="36"/>
      <c r="B2136" s="72" t="s">
        <v>1633</v>
      </c>
      <c r="C2136" s="43" t="s">
        <v>55</v>
      </c>
      <c r="D2136" s="39" t="s">
        <v>13</v>
      </c>
      <c r="E2136" s="44">
        <v>10.8</v>
      </c>
      <c r="F2136" s="153">
        <v>10404000</v>
      </c>
      <c r="G2136" s="40">
        <f>E2136*F2136</f>
        <v>112363200</v>
      </c>
      <c r="H2136" s="42"/>
    </row>
    <row r="2137" spans="1:771 1026:1795 2050:2819 3074:3843 4098:4867 5122:5891 6146:6915 7170:7939 8194:8963 9218:9987 10242:11011 11266:12035 12290:13059 13314:14083 14338:15107 15362:16131" s="35" customFormat="1" x14ac:dyDescent="0.3">
      <c r="A2137" s="36"/>
      <c r="B2137" s="72" t="s">
        <v>1628</v>
      </c>
      <c r="C2137" s="47" t="s">
        <v>35</v>
      </c>
      <c r="D2137" s="39"/>
      <c r="E2137" s="73"/>
      <c r="F2137" s="40"/>
      <c r="G2137" s="41">
        <f>SUM(G2138:G2139)</f>
        <v>12868800</v>
      </c>
      <c r="H2137" s="45"/>
    </row>
    <row r="2138" spans="1:771 1026:1795 2050:2819 3074:3843 4098:4867 5122:5891 6146:6915 7170:7939 8194:8963 9218:9987 10242:11011 11266:12035 12290:13059 13314:14083 14338:15107 15362:16131" s="35" customFormat="1" ht="109.2" x14ac:dyDescent="0.3">
      <c r="A2138" s="36"/>
      <c r="B2138" s="38"/>
      <c r="C2138" s="66" t="s">
        <v>1637</v>
      </c>
      <c r="D2138" s="39" t="s">
        <v>13</v>
      </c>
      <c r="E2138" s="73">
        <f>1.7*5</f>
        <v>8.5</v>
      </c>
      <c r="F2138" s="74">
        <f>3592000*40%</f>
        <v>1436800</v>
      </c>
      <c r="G2138" s="40">
        <f>E2138*F2138</f>
        <v>12212800</v>
      </c>
      <c r="H2138" s="45" t="s">
        <v>2551</v>
      </c>
    </row>
    <row r="2139" spans="1:771 1026:1795 2050:2819 3074:3843 4098:4867 5122:5891 6146:6915 7170:7939 8194:8963 9218:9987 10242:11011 11266:12035 12290:13059 13314:14083 14338:15107 15362:16131" s="35" customFormat="1" ht="18.600000000000001" x14ac:dyDescent="0.3">
      <c r="A2139" s="36"/>
      <c r="B2139" s="38"/>
      <c r="C2139" s="66" t="s">
        <v>900</v>
      </c>
      <c r="D2139" s="39" t="s">
        <v>13</v>
      </c>
      <c r="E2139" s="73">
        <f>2*8</f>
        <v>16</v>
      </c>
      <c r="F2139" s="40">
        <v>41000</v>
      </c>
      <c r="G2139" s="40">
        <f>E2139*F2139</f>
        <v>656000</v>
      </c>
      <c r="H2139" s="45"/>
    </row>
    <row r="2140" spans="1:771 1026:1795 2050:2819 3074:3843 4098:4867 5122:5891 6146:6915 7170:7939 8194:8963 9218:9987 10242:11011 11266:12035 12290:13059 13314:14083 14338:15107 15362:16131" s="35" customFormat="1" x14ac:dyDescent="0.3">
      <c r="A2140" s="36"/>
      <c r="B2140" s="46"/>
      <c r="C2140" s="51" t="s">
        <v>23</v>
      </c>
      <c r="D2140" s="39"/>
      <c r="E2140" s="1"/>
      <c r="F2140" s="2"/>
      <c r="G2140" s="41">
        <f>SUM(G2141)</f>
        <v>3060000</v>
      </c>
      <c r="H2140" s="52"/>
    </row>
    <row r="2141" spans="1:771 1026:1795 2050:2819 3074:3843 4098:4867 5122:5891 6146:6915 7170:7939 8194:8963 9218:9987 10242:11011 11266:12035 12290:13059 13314:14083 14338:15107 15362:16131" s="35" customFormat="1" x14ac:dyDescent="0.3">
      <c r="A2141" s="36"/>
      <c r="B2141" s="46"/>
      <c r="C2141" s="50" t="s">
        <v>24</v>
      </c>
      <c r="D2141" s="39" t="s">
        <v>25</v>
      </c>
      <c r="E2141" s="1">
        <f>1*30*6</f>
        <v>180</v>
      </c>
      <c r="F2141" s="2">
        <v>17000</v>
      </c>
      <c r="G2141" s="40">
        <f>E2141*F2141</f>
        <v>3060000</v>
      </c>
      <c r="H2141" s="42"/>
    </row>
    <row r="2142" spans="1:771 1026:1795 2050:2819 3074:3843 4098:4867 5122:5891 6146:6915 7170:7939 8194:8963 9218:9987 10242:11011 11266:12035 12290:13059 13314:14083 14338:15107 15362:16131" s="35" customFormat="1" ht="65.400000000000006" thickBot="1" x14ac:dyDescent="0.35">
      <c r="A2142" s="53"/>
      <c r="B2142" s="54"/>
      <c r="C2142" s="55" t="s">
        <v>2331</v>
      </c>
      <c r="D2142" s="56"/>
      <c r="E2142" s="5"/>
      <c r="F2142" s="6"/>
      <c r="G2142" s="57"/>
      <c r="H2142" s="58"/>
    </row>
    <row r="2143" spans="1:771 1026:1795 2050:2819 3074:3843 4098:4867 5122:5891 6146:6915 7170:7939 8194:8963 9218:9987 10242:11011 11266:12035 12290:13059 13314:14083 14338:15107 15362:16131" s="59" customFormat="1" ht="31.8" thickBot="1" x14ac:dyDescent="0.35">
      <c r="A2143" s="154"/>
      <c r="B2143" s="155" t="s">
        <v>26</v>
      </c>
      <c r="C2143" s="156"/>
      <c r="D2143" s="154"/>
      <c r="E2143" s="157"/>
      <c r="F2143" s="158"/>
      <c r="G2143" s="159">
        <f>SUM(G2134:G2142)/2</f>
        <v>128292000</v>
      </c>
      <c r="H2143" s="160"/>
      <c r="IX2143" s="35"/>
      <c r="IY2143" s="35"/>
      <c r="ST2143" s="35"/>
      <c r="SU2143" s="35"/>
      <c r="ACP2143" s="35"/>
      <c r="ACQ2143" s="35"/>
      <c r="AML2143" s="35"/>
      <c r="AMM2143" s="35"/>
      <c r="AWH2143" s="35"/>
      <c r="AWI2143" s="35"/>
      <c r="BGD2143" s="35"/>
      <c r="BGE2143" s="35"/>
      <c r="BPZ2143" s="35"/>
      <c r="BQA2143" s="35"/>
      <c r="BZV2143" s="35"/>
      <c r="BZW2143" s="35"/>
      <c r="CJR2143" s="35"/>
      <c r="CJS2143" s="35"/>
      <c r="CTN2143" s="35"/>
      <c r="CTO2143" s="35"/>
      <c r="DDJ2143" s="35"/>
      <c r="DDK2143" s="35"/>
      <c r="DNF2143" s="35"/>
      <c r="DNG2143" s="35"/>
      <c r="DXB2143" s="35"/>
      <c r="DXC2143" s="35"/>
      <c r="EGX2143" s="35"/>
      <c r="EGY2143" s="35"/>
      <c r="EQT2143" s="35"/>
      <c r="EQU2143" s="35"/>
      <c r="FAP2143" s="35"/>
      <c r="FAQ2143" s="35"/>
      <c r="FKL2143" s="35"/>
      <c r="FKM2143" s="35"/>
      <c r="FUH2143" s="35"/>
      <c r="FUI2143" s="35"/>
      <c r="GED2143" s="35"/>
      <c r="GEE2143" s="35"/>
      <c r="GNZ2143" s="35"/>
      <c r="GOA2143" s="35"/>
      <c r="GXV2143" s="35"/>
      <c r="GXW2143" s="35"/>
      <c r="HHR2143" s="35"/>
      <c r="HHS2143" s="35"/>
      <c r="HRN2143" s="35"/>
      <c r="HRO2143" s="35"/>
      <c r="IBJ2143" s="35"/>
      <c r="IBK2143" s="35"/>
      <c r="ILF2143" s="35"/>
      <c r="ILG2143" s="35"/>
      <c r="IVB2143" s="35"/>
      <c r="IVC2143" s="35"/>
      <c r="JEX2143" s="35"/>
      <c r="JEY2143" s="35"/>
      <c r="JOT2143" s="35"/>
      <c r="JOU2143" s="35"/>
      <c r="JYP2143" s="35"/>
      <c r="JYQ2143" s="35"/>
      <c r="KIL2143" s="35"/>
      <c r="KIM2143" s="35"/>
      <c r="KSH2143" s="35"/>
      <c r="KSI2143" s="35"/>
      <c r="LCD2143" s="35"/>
      <c r="LCE2143" s="35"/>
      <c r="LLZ2143" s="35"/>
      <c r="LMA2143" s="35"/>
      <c r="LVV2143" s="35"/>
      <c r="LVW2143" s="35"/>
      <c r="MFR2143" s="35"/>
      <c r="MFS2143" s="35"/>
      <c r="MPN2143" s="35"/>
      <c r="MPO2143" s="35"/>
      <c r="MZJ2143" s="35"/>
      <c r="MZK2143" s="35"/>
      <c r="NJF2143" s="35"/>
      <c r="NJG2143" s="35"/>
      <c r="NTB2143" s="35"/>
      <c r="NTC2143" s="35"/>
      <c r="OCX2143" s="35"/>
      <c r="OCY2143" s="35"/>
      <c r="OMT2143" s="35"/>
      <c r="OMU2143" s="35"/>
      <c r="OWP2143" s="35"/>
      <c r="OWQ2143" s="35"/>
      <c r="PGL2143" s="35"/>
      <c r="PGM2143" s="35"/>
      <c r="PQH2143" s="35"/>
      <c r="PQI2143" s="35"/>
      <c r="QAD2143" s="35"/>
      <c r="QAE2143" s="35"/>
      <c r="QJZ2143" s="35"/>
      <c r="QKA2143" s="35"/>
      <c r="QTV2143" s="35"/>
      <c r="QTW2143" s="35"/>
      <c r="RDR2143" s="35"/>
      <c r="RDS2143" s="35"/>
      <c r="RNN2143" s="35"/>
      <c r="RNO2143" s="35"/>
      <c r="RXJ2143" s="35"/>
      <c r="RXK2143" s="35"/>
      <c r="SHF2143" s="35"/>
      <c r="SHG2143" s="35"/>
      <c r="SRB2143" s="35"/>
      <c r="SRC2143" s="35"/>
      <c r="TAX2143" s="35"/>
      <c r="TAY2143" s="35"/>
      <c r="TKT2143" s="35"/>
      <c r="TKU2143" s="35"/>
      <c r="TUP2143" s="35"/>
      <c r="TUQ2143" s="35"/>
      <c r="UEL2143" s="35"/>
      <c r="UEM2143" s="35"/>
      <c r="UOH2143" s="35"/>
      <c r="UOI2143" s="35"/>
      <c r="UYD2143" s="35"/>
      <c r="UYE2143" s="35"/>
      <c r="VHZ2143" s="35"/>
      <c r="VIA2143" s="35"/>
      <c r="VRV2143" s="35"/>
      <c r="VRW2143" s="35"/>
      <c r="WBR2143" s="35"/>
      <c r="WBS2143" s="35"/>
      <c r="WLN2143" s="35"/>
      <c r="WLO2143" s="35"/>
      <c r="WVJ2143" s="35"/>
      <c r="WVK2143" s="35"/>
    </row>
    <row r="2144" spans="1:771 1026:1795 2050:2819 3074:3843 4098:4867 5122:5891 6146:6915 7170:7939 8194:8963 9218:9987 10242:11011 11266:12035 12290:13059 13314:14083 14338:15107 15362:16131" s="35" customFormat="1" ht="55.2" x14ac:dyDescent="0.3">
      <c r="A2144" s="28">
        <v>200</v>
      </c>
      <c r="B2144" s="29" t="s">
        <v>1638</v>
      </c>
      <c r="C2144" s="30" t="s">
        <v>1642</v>
      </c>
      <c r="D2144" s="31" t="s">
        <v>13</v>
      </c>
      <c r="E2144" s="32">
        <v>10</v>
      </c>
      <c r="F2144" s="33"/>
      <c r="G2144" s="33"/>
      <c r="H2144" s="34" t="s">
        <v>1636</v>
      </c>
    </row>
    <row r="2145" spans="1:771 1026:1795 2050:2819 3074:3843 4098:4867 5122:5891 6146:6915 7170:7939 8194:8963 9218:9987 10242:11011 11266:12035 12290:13059 13314:14083 14338:15107 15362:16131" s="35" customFormat="1" x14ac:dyDescent="0.3">
      <c r="A2145" s="36"/>
      <c r="B2145" s="72" t="s">
        <v>1639</v>
      </c>
      <c r="C2145" s="38" t="s">
        <v>14</v>
      </c>
      <c r="D2145" s="39"/>
      <c r="E2145" s="44"/>
      <c r="F2145" s="40"/>
      <c r="G2145" s="41">
        <f>SUM(G2146)</f>
        <v>104040000</v>
      </c>
      <c r="H2145" s="42"/>
    </row>
    <row r="2146" spans="1:771 1026:1795 2050:2819 3074:3843 4098:4867 5122:5891 6146:6915 7170:7939 8194:8963 9218:9987 10242:11011 11266:12035 12290:13059 13314:14083 14338:15107 15362:16131" s="35" customFormat="1" ht="78" x14ac:dyDescent="0.3">
      <c r="A2146" s="36"/>
      <c r="B2146" s="72" t="s">
        <v>1640</v>
      </c>
      <c r="C2146" s="43" t="s">
        <v>55</v>
      </c>
      <c r="D2146" s="39" t="s">
        <v>13</v>
      </c>
      <c r="E2146" s="44">
        <v>10</v>
      </c>
      <c r="F2146" s="153">
        <v>10404000</v>
      </c>
      <c r="G2146" s="40">
        <f>E2146*F2146</f>
        <v>104040000</v>
      </c>
      <c r="H2146" s="42"/>
    </row>
    <row r="2147" spans="1:771 1026:1795 2050:2819 3074:3843 4098:4867 5122:5891 6146:6915 7170:7939 8194:8963 9218:9987 10242:11011 11266:12035 12290:13059 13314:14083 14338:15107 15362:16131" s="35" customFormat="1" x14ac:dyDescent="0.3">
      <c r="A2147" s="36"/>
      <c r="B2147" s="72" t="s">
        <v>1641</v>
      </c>
      <c r="C2147" s="47" t="s">
        <v>35</v>
      </c>
      <c r="D2147" s="39"/>
      <c r="E2147" s="73"/>
      <c r="F2147" s="40"/>
      <c r="G2147" s="41">
        <f>SUM(G2148:G2150)</f>
        <v>9051840.0000000019</v>
      </c>
      <c r="H2147" s="45"/>
    </row>
    <row r="2148" spans="1:771 1026:1795 2050:2819 3074:3843 4098:4867 5122:5891 6146:6915 7170:7939 8194:8963 9218:9987 10242:11011 11266:12035 12290:13059 13314:14083 14338:15107 15362:16131" s="35" customFormat="1" ht="109.2" x14ac:dyDescent="0.3">
      <c r="A2148" s="36"/>
      <c r="B2148" s="38"/>
      <c r="C2148" s="66" t="s">
        <v>1637</v>
      </c>
      <c r="D2148" s="39" t="s">
        <v>13</v>
      </c>
      <c r="E2148" s="73">
        <f>2.1*3</f>
        <v>6.3000000000000007</v>
      </c>
      <c r="F2148" s="74">
        <f>3592000*40%</f>
        <v>1436800</v>
      </c>
      <c r="G2148" s="40">
        <f>E2148*F2148</f>
        <v>9051840.0000000019</v>
      </c>
      <c r="H2148" s="45" t="s">
        <v>2552</v>
      </c>
    </row>
    <row r="2149" spans="1:771 1026:1795 2050:2819 3074:3843 4098:4867 5122:5891 6146:6915 7170:7939 8194:8963 9218:9987 10242:11011 11266:12035 12290:13059 13314:14083 14338:15107 15362:16131" s="35" customFormat="1" ht="18.600000000000001" x14ac:dyDescent="0.3">
      <c r="A2149" s="36"/>
      <c r="B2149" s="38"/>
      <c r="C2149" s="66" t="s">
        <v>1643</v>
      </c>
      <c r="D2149" s="39" t="s">
        <v>13</v>
      </c>
      <c r="E2149" s="73">
        <v>15</v>
      </c>
      <c r="F2149" s="74"/>
      <c r="G2149" s="40">
        <f>E2149*F2149</f>
        <v>0</v>
      </c>
      <c r="H2149" s="45"/>
    </row>
    <row r="2150" spans="1:771 1026:1795 2050:2819 3074:3843 4098:4867 5122:5891 6146:6915 7170:7939 8194:8963 9218:9987 10242:11011 11266:12035 12290:13059 13314:14083 14338:15107 15362:16131" s="35" customFormat="1" ht="31.2" x14ac:dyDescent="0.3">
      <c r="A2150" s="36"/>
      <c r="B2150" s="38"/>
      <c r="C2150" s="66" t="s">
        <v>1644</v>
      </c>
      <c r="D2150" s="39" t="s">
        <v>13</v>
      </c>
      <c r="E2150" s="73">
        <v>1.54</v>
      </c>
      <c r="F2150" s="74"/>
      <c r="G2150" s="40">
        <f>E2150*F2150</f>
        <v>0</v>
      </c>
      <c r="H2150" s="111" t="s">
        <v>2453</v>
      </c>
    </row>
    <row r="2151" spans="1:771 1026:1795 2050:2819 3074:3843 4098:4867 5122:5891 6146:6915 7170:7939 8194:8963 9218:9987 10242:11011 11266:12035 12290:13059 13314:14083 14338:15107 15362:16131" s="35" customFormat="1" x14ac:dyDescent="0.3">
      <c r="A2151" s="36"/>
      <c r="B2151" s="46"/>
      <c r="C2151" s="51" t="s">
        <v>23</v>
      </c>
      <c r="D2151" s="39"/>
      <c r="E2151" s="1"/>
      <c r="F2151" s="2"/>
      <c r="G2151" s="41">
        <f>SUM(G2152)</f>
        <v>3060000</v>
      </c>
      <c r="H2151" s="52"/>
    </row>
    <row r="2152" spans="1:771 1026:1795 2050:2819 3074:3843 4098:4867 5122:5891 6146:6915 7170:7939 8194:8963 9218:9987 10242:11011 11266:12035 12290:13059 13314:14083 14338:15107 15362:16131" s="35" customFormat="1" x14ac:dyDescent="0.3">
      <c r="A2152" s="36"/>
      <c r="B2152" s="46"/>
      <c r="C2152" s="50" t="s">
        <v>24</v>
      </c>
      <c r="D2152" s="39" t="s">
        <v>25</v>
      </c>
      <c r="E2152" s="1">
        <f>1*30*6</f>
        <v>180</v>
      </c>
      <c r="F2152" s="2">
        <v>17000</v>
      </c>
      <c r="G2152" s="40">
        <f>E2152*F2152</f>
        <v>3060000</v>
      </c>
      <c r="H2152" s="42"/>
    </row>
    <row r="2153" spans="1:771 1026:1795 2050:2819 3074:3843 4098:4867 5122:5891 6146:6915 7170:7939 8194:8963 9218:9987 10242:11011 11266:12035 12290:13059 13314:14083 14338:15107 15362:16131" s="35" customFormat="1" ht="65.400000000000006" thickBot="1" x14ac:dyDescent="0.35">
      <c r="A2153" s="53"/>
      <c r="B2153" s="54"/>
      <c r="C2153" s="55" t="s">
        <v>2331</v>
      </c>
      <c r="D2153" s="56"/>
      <c r="E2153" s="5"/>
      <c r="F2153" s="6"/>
      <c r="G2153" s="57"/>
      <c r="H2153" s="58"/>
    </row>
    <row r="2154" spans="1:771 1026:1795 2050:2819 3074:3843 4098:4867 5122:5891 6146:6915 7170:7939 8194:8963 9218:9987 10242:11011 11266:12035 12290:13059 13314:14083 14338:15107 15362:16131" s="59" customFormat="1" ht="31.8" thickBot="1" x14ac:dyDescent="0.35">
      <c r="A2154" s="154"/>
      <c r="B2154" s="155" t="s">
        <v>26</v>
      </c>
      <c r="C2154" s="156"/>
      <c r="D2154" s="154"/>
      <c r="E2154" s="157"/>
      <c r="F2154" s="158"/>
      <c r="G2154" s="159">
        <f>SUM(G2144:G2153)/2</f>
        <v>116151840</v>
      </c>
      <c r="H2154" s="160"/>
      <c r="IX2154" s="35"/>
      <c r="IY2154" s="35"/>
      <c r="ST2154" s="35"/>
      <c r="SU2154" s="35"/>
      <c r="ACP2154" s="35"/>
      <c r="ACQ2154" s="35"/>
      <c r="AML2154" s="35"/>
      <c r="AMM2154" s="35"/>
      <c r="AWH2154" s="35"/>
      <c r="AWI2154" s="35"/>
      <c r="BGD2154" s="35"/>
      <c r="BGE2154" s="35"/>
      <c r="BPZ2154" s="35"/>
      <c r="BQA2154" s="35"/>
      <c r="BZV2154" s="35"/>
      <c r="BZW2154" s="35"/>
      <c r="CJR2154" s="35"/>
      <c r="CJS2154" s="35"/>
      <c r="CTN2154" s="35"/>
      <c r="CTO2154" s="35"/>
      <c r="DDJ2154" s="35"/>
      <c r="DDK2154" s="35"/>
      <c r="DNF2154" s="35"/>
      <c r="DNG2154" s="35"/>
      <c r="DXB2154" s="35"/>
      <c r="DXC2154" s="35"/>
      <c r="EGX2154" s="35"/>
      <c r="EGY2154" s="35"/>
      <c r="EQT2154" s="35"/>
      <c r="EQU2154" s="35"/>
      <c r="FAP2154" s="35"/>
      <c r="FAQ2154" s="35"/>
      <c r="FKL2154" s="35"/>
      <c r="FKM2154" s="35"/>
      <c r="FUH2154" s="35"/>
      <c r="FUI2154" s="35"/>
      <c r="GED2154" s="35"/>
      <c r="GEE2154" s="35"/>
      <c r="GNZ2154" s="35"/>
      <c r="GOA2154" s="35"/>
      <c r="GXV2154" s="35"/>
      <c r="GXW2154" s="35"/>
      <c r="HHR2154" s="35"/>
      <c r="HHS2154" s="35"/>
      <c r="HRN2154" s="35"/>
      <c r="HRO2154" s="35"/>
      <c r="IBJ2154" s="35"/>
      <c r="IBK2154" s="35"/>
      <c r="ILF2154" s="35"/>
      <c r="ILG2154" s="35"/>
      <c r="IVB2154" s="35"/>
      <c r="IVC2154" s="35"/>
      <c r="JEX2154" s="35"/>
      <c r="JEY2154" s="35"/>
      <c r="JOT2154" s="35"/>
      <c r="JOU2154" s="35"/>
      <c r="JYP2154" s="35"/>
      <c r="JYQ2154" s="35"/>
      <c r="KIL2154" s="35"/>
      <c r="KIM2154" s="35"/>
      <c r="KSH2154" s="35"/>
      <c r="KSI2154" s="35"/>
      <c r="LCD2154" s="35"/>
      <c r="LCE2154" s="35"/>
      <c r="LLZ2154" s="35"/>
      <c r="LMA2154" s="35"/>
      <c r="LVV2154" s="35"/>
      <c r="LVW2154" s="35"/>
      <c r="MFR2154" s="35"/>
      <c r="MFS2154" s="35"/>
      <c r="MPN2154" s="35"/>
      <c r="MPO2154" s="35"/>
      <c r="MZJ2154" s="35"/>
      <c r="MZK2154" s="35"/>
      <c r="NJF2154" s="35"/>
      <c r="NJG2154" s="35"/>
      <c r="NTB2154" s="35"/>
      <c r="NTC2154" s="35"/>
      <c r="OCX2154" s="35"/>
      <c r="OCY2154" s="35"/>
      <c r="OMT2154" s="35"/>
      <c r="OMU2154" s="35"/>
      <c r="OWP2154" s="35"/>
      <c r="OWQ2154" s="35"/>
      <c r="PGL2154" s="35"/>
      <c r="PGM2154" s="35"/>
      <c r="PQH2154" s="35"/>
      <c r="PQI2154" s="35"/>
      <c r="QAD2154" s="35"/>
      <c r="QAE2154" s="35"/>
      <c r="QJZ2154" s="35"/>
      <c r="QKA2154" s="35"/>
      <c r="QTV2154" s="35"/>
      <c r="QTW2154" s="35"/>
      <c r="RDR2154" s="35"/>
      <c r="RDS2154" s="35"/>
      <c r="RNN2154" s="35"/>
      <c r="RNO2154" s="35"/>
      <c r="RXJ2154" s="35"/>
      <c r="RXK2154" s="35"/>
      <c r="SHF2154" s="35"/>
      <c r="SHG2154" s="35"/>
      <c r="SRB2154" s="35"/>
      <c r="SRC2154" s="35"/>
      <c r="TAX2154" s="35"/>
      <c r="TAY2154" s="35"/>
      <c r="TKT2154" s="35"/>
      <c r="TKU2154" s="35"/>
      <c r="TUP2154" s="35"/>
      <c r="TUQ2154" s="35"/>
      <c r="UEL2154" s="35"/>
      <c r="UEM2154" s="35"/>
      <c r="UOH2154" s="35"/>
      <c r="UOI2154" s="35"/>
      <c r="UYD2154" s="35"/>
      <c r="UYE2154" s="35"/>
      <c r="VHZ2154" s="35"/>
      <c r="VIA2154" s="35"/>
      <c r="VRV2154" s="35"/>
      <c r="VRW2154" s="35"/>
      <c r="WBR2154" s="35"/>
      <c r="WBS2154" s="35"/>
      <c r="WLN2154" s="35"/>
      <c r="WLO2154" s="35"/>
      <c r="WVJ2154" s="35"/>
      <c r="WVK2154" s="35"/>
    </row>
    <row r="2155" spans="1:771 1026:1795 2050:2819 3074:3843 4098:4867 5122:5891 6146:6915 7170:7939 8194:8963 9218:9987 10242:11011 11266:12035 12290:13059 13314:14083 14338:15107 15362:16131" s="35" customFormat="1" ht="55.2" x14ac:dyDescent="0.3">
      <c r="A2155" s="28">
        <v>201</v>
      </c>
      <c r="B2155" s="29" t="s">
        <v>1645</v>
      </c>
      <c r="C2155" s="30" t="s">
        <v>1648</v>
      </c>
      <c r="D2155" s="31" t="s">
        <v>13</v>
      </c>
      <c r="E2155" s="32">
        <v>8.1999999999999993</v>
      </c>
      <c r="F2155" s="33"/>
      <c r="G2155" s="33"/>
      <c r="H2155" s="34" t="s">
        <v>1649</v>
      </c>
    </row>
    <row r="2156" spans="1:771 1026:1795 2050:2819 3074:3843 4098:4867 5122:5891 6146:6915 7170:7939 8194:8963 9218:9987 10242:11011 11266:12035 12290:13059 13314:14083 14338:15107 15362:16131" s="35" customFormat="1" x14ac:dyDescent="0.3">
      <c r="A2156" s="36"/>
      <c r="B2156" s="72" t="s">
        <v>1646</v>
      </c>
      <c r="C2156" s="38" t="s">
        <v>14</v>
      </c>
      <c r="D2156" s="39"/>
      <c r="E2156" s="44"/>
      <c r="F2156" s="40"/>
      <c r="G2156" s="41">
        <f>SUM(G2157)</f>
        <v>159727800</v>
      </c>
      <c r="H2156" s="42"/>
    </row>
    <row r="2157" spans="1:771 1026:1795 2050:2819 3074:3843 4098:4867 5122:5891 6146:6915 7170:7939 8194:8963 9218:9987 10242:11011 11266:12035 12290:13059 13314:14083 14338:15107 15362:16131" s="35" customFormat="1" ht="78" x14ac:dyDescent="0.3">
      <c r="A2157" s="36"/>
      <c r="B2157" s="72" t="s">
        <v>1640</v>
      </c>
      <c r="C2157" s="48" t="s">
        <v>38</v>
      </c>
      <c r="D2157" s="39" t="s">
        <v>13</v>
      </c>
      <c r="E2157" s="44">
        <v>8.1999999999999993</v>
      </c>
      <c r="F2157" s="153">
        <v>19479000</v>
      </c>
      <c r="G2157" s="40">
        <f>E2157*F2157</f>
        <v>159727800</v>
      </c>
      <c r="H2157" s="42"/>
    </row>
    <row r="2158" spans="1:771 1026:1795 2050:2819 3074:3843 4098:4867 5122:5891 6146:6915 7170:7939 8194:8963 9218:9987 10242:11011 11266:12035 12290:13059 13314:14083 14338:15107 15362:16131" s="35" customFormat="1" x14ac:dyDescent="0.3">
      <c r="A2158" s="36"/>
      <c r="B2158" s="72" t="s">
        <v>1647</v>
      </c>
      <c r="C2158" s="47" t="s">
        <v>35</v>
      </c>
      <c r="D2158" s="39"/>
      <c r="E2158" s="73"/>
      <c r="F2158" s="40"/>
      <c r="G2158" s="41">
        <f>SUM(G2159)</f>
        <v>1814400</v>
      </c>
      <c r="H2158" s="45"/>
    </row>
    <row r="2159" spans="1:771 1026:1795 2050:2819 3074:3843 4098:4867 5122:5891 6146:6915 7170:7939 8194:8963 9218:9987 10242:11011 11266:12035 12290:13059 13314:14083 14338:15107 15362:16131" s="35" customFormat="1" ht="46.8" x14ac:dyDescent="0.3">
      <c r="A2159" s="36"/>
      <c r="B2159" s="38"/>
      <c r="C2159" s="66" t="s">
        <v>1650</v>
      </c>
      <c r="D2159" s="39" t="s">
        <v>13</v>
      </c>
      <c r="E2159" s="73">
        <v>8.4</v>
      </c>
      <c r="F2159" s="74">
        <f>540000*40%</f>
        <v>216000</v>
      </c>
      <c r="G2159" s="40">
        <f>E2159*F2159</f>
        <v>1814400</v>
      </c>
      <c r="H2159" s="45" t="s">
        <v>2553</v>
      </c>
    </row>
    <row r="2160" spans="1:771 1026:1795 2050:2819 3074:3843 4098:4867 5122:5891 6146:6915 7170:7939 8194:8963 9218:9987 10242:11011 11266:12035 12290:13059 13314:14083 14338:15107 15362:16131" s="35" customFormat="1" ht="65.400000000000006" thickBot="1" x14ac:dyDescent="0.35">
      <c r="A2160" s="53"/>
      <c r="B2160" s="54"/>
      <c r="C2160" s="55" t="s">
        <v>2331</v>
      </c>
      <c r="D2160" s="56"/>
      <c r="E2160" s="5"/>
      <c r="F2160" s="6"/>
      <c r="G2160" s="57"/>
      <c r="H2160" s="58"/>
    </row>
    <row r="2161" spans="1:771 1026:1795 2050:2819 3074:3843 4098:4867 5122:5891 6146:6915 7170:7939 8194:8963 9218:9987 10242:11011 11266:12035 12290:13059 13314:14083 14338:15107 15362:16131" s="59" customFormat="1" ht="31.8" thickBot="1" x14ac:dyDescent="0.35">
      <c r="A2161" s="154"/>
      <c r="B2161" s="155" t="s">
        <v>26</v>
      </c>
      <c r="C2161" s="156"/>
      <c r="D2161" s="154"/>
      <c r="E2161" s="157"/>
      <c r="F2161" s="158"/>
      <c r="G2161" s="159">
        <f>SUM(G2155:G2160)/2</f>
        <v>161542200</v>
      </c>
      <c r="H2161" s="160"/>
      <c r="IX2161" s="35"/>
      <c r="IY2161" s="35"/>
      <c r="ST2161" s="35"/>
      <c r="SU2161" s="35"/>
      <c r="ACP2161" s="35"/>
      <c r="ACQ2161" s="35"/>
      <c r="AML2161" s="35"/>
      <c r="AMM2161" s="35"/>
      <c r="AWH2161" s="35"/>
      <c r="AWI2161" s="35"/>
      <c r="BGD2161" s="35"/>
      <c r="BGE2161" s="35"/>
      <c r="BPZ2161" s="35"/>
      <c r="BQA2161" s="35"/>
      <c r="BZV2161" s="35"/>
      <c r="BZW2161" s="35"/>
      <c r="CJR2161" s="35"/>
      <c r="CJS2161" s="35"/>
      <c r="CTN2161" s="35"/>
      <c r="CTO2161" s="35"/>
      <c r="DDJ2161" s="35"/>
      <c r="DDK2161" s="35"/>
      <c r="DNF2161" s="35"/>
      <c r="DNG2161" s="35"/>
      <c r="DXB2161" s="35"/>
      <c r="DXC2161" s="35"/>
      <c r="EGX2161" s="35"/>
      <c r="EGY2161" s="35"/>
      <c r="EQT2161" s="35"/>
      <c r="EQU2161" s="35"/>
      <c r="FAP2161" s="35"/>
      <c r="FAQ2161" s="35"/>
      <c r="FKL2161" s="35"/>
      <c r="FKM2161" s="35"/>
      <c r="FUH2161" s="35"/>
      <c r="FUI2161" s="35"/>
      <c r="GED2161" s="35"/>
      <c r="GEE2161" s="35"/>
      <c r="GNZ2161" s="35"/>
      <c r="GOA2161" s="35"/>
      <c r="GXV2161" s="35"/>
      <c r="GXW2161" s="35"/>
      <c r="HHR2161" s="35"/>
      <c r="HHS2161" s="35"/>
      <c r="HRN2161" s="35"/>
      <c r="HRO2161" s="35"/>
      <c r="IBJ2161" s="35"/>
      <c r="IBK2161" s="35"/>
      <c r="ILF2161" s="35"/>
      <c r="ILG2161" s="35"/>
      <c r="IVB2161" s="35"/>
      <c r="IVC2161" s="35"/>
      <c r="JEX2161" s="35"/>
      <c r="JEY2161" s="35"/>
      <c r="JOT2161" s="35"/>
      <c r="JOU2161" s="35"/>
      <c r="JYP2161" s="35"/>
      <c r="JYQ2161" s="35"/>
      <c r="KIL2161" s="35"/>
      <c r="KIM2161" s="35"/>
      <c r="KSH2161" s="35"/>
      <c r="KSI2161" s="35"/>
      <c r="LCD2161" s="35"/>
      <c r="LCE2161" s="35"/>
      <c r="LLZ2161" s="35"/>
      <c r="LMA2161" s="35"/>
      <c r="LVV2161" s="35"/>
      <c r="LVW2161" s="35"/>
      <c r="MFR2161" s="35"/>
      <c r="MFS2161" s="35"/>
      <c r="MPN2161" s="35"/>
      <c r="MPO2161" s="35"/>
      <c r="MZJ2161" s="35"/>
      <c r="MZK2161" s="35"/>
      <c r="NJF2161" s="35"/>
      <c r="NJG2161" s="35"/>
      <c r="NTB2161" s="35"/>
      <c r="NTC2161" s="35"/>
      <c r="OCX2161" s="35"/>
      <c r="OCY2161" s="35"/>
      <c r="OMT2161" s="35"/>
      <c r="OMU2161" s="35"/>
      <c r="OWP2161" s="35"/>
      <c r="OWQ2161" s="35"/>
      <c r="PGL2161" s="35"/>
      <c r="PGM2161" s="35"/>
      <c r="PQH2161" s="35"/>
      <c r="PQI2161" s="35"/>
      <c r="QAD2161" s="35"/>
      <c r="QAE2161" s="35"/>
      <c r="QJZ2161" s="35"/>
      <c r="QKA2161" s="35"/>
      <c r="QTV2161" s="35"/>
      <c r="QTW2161" s="35"/>
      <c r="RDR2161" s="35"/>
      <c r="RDS2161" s="35"/>
      <c r="RNN2161" s="35"/>
      <c r="RNO2161" s="35"/>
      <c r="RXJ2161" s="35"/>
      <c r="RXK2161" s="35"/>
      <c r="SHF2161" s="35"/>
      <c r="SHG2161" s="35"/>
      <c r="SRB2161" s="35"/>
      <c r="SRC2161" s="35"/>
      <c r="TAX2161" s="35"/>
      <c r="TAY2161" s="35"/>
      <c r="TKT2161" s="35"/>
      <c r="TKU2161" s="35"/>
      <c r="TUP2161" s="35"/>
      <c r="TUQ2161" s="35"/>
      <c r="UEL2161" s="35"/>
      <c r="UEM2161" s="35"/>
      <c r="UOH2161" s="35"/>
      <c r="UOI2161" s="35"/>
      <c r="UYD2161" s="35"/>
      <c r="UYE2161" s="35"/>
      <c r="VHZ2161" s="35"/>
      <c r="VIA2161" s="35"/>
      <c r="VRV2161" s="35"/>
      <c r="VRW2161" s="35"/>
      <c r="WBR2161" s="35"/>
      <c r="WBS2161" s="35"/>
      <c r="WLN2161" s="35"/>
      <c r="WLO2161" s="35"/>
      <c r="WVJ2161" s="35"/>
      <c r="WVK2161" s="35"/>
    </row>
    <row r="2162" spans="1:771 1026:1795 2050:2819 3074:3843 4098:4867 5122:5891 6146:6915 7170:7939 8194:8963 9218:9987 10242:11011 11266:12035 12290:13059 13314:14083 14338:15107 15362:16131" s="35" customFormat="1" ht="55.2" x14ac:dyDescent="0.3">
      <c r="A2162" s="28">
        <v>202</v>
      </c>
      <c r="B2162" s="29" t="s">
        <v>1651</v>
      </c>
      <c r="C2162" s="30" t="s">
        <v>1654</v>
      </c>
      <c r="D2162" s="31" t="s">
        <v>13</v>
      </c>
      <c r="E2162" s="32">
        <v>26.1</v>
      </c>
      <c r="F2162" s="33"/>
      <c r="G2162" s="33"/>
      <c r="H2162" s="34" t="s">
        <v>1655</v>
      </c>
    </row>
    <row r="2163" spans="1:771 1026:1795 2050:2819 3074:3843 4098:4867 5122:5891 6146:6915 7170:7939 8194:8963 9218:9987 10242:11011 11266:12035 12290:13059 13314:14083 14338:15107 15362:16131" s="35" customFormat="1" x14ac:dyDescent="0.3">
      <c r="A2163" s="36"/>
      <c r="B2163" s="72" t="s">
        <v>1652</v>
      </c>
      <c r="C2163" s="38" t="s">
        <v>14</v>
      </c>
      <c r="D2163" s="39"/>
      <c r="E2163" s="44"/>
      <c r="F2163" s="40"/>
      <c r="G2163" s="41">
        <f>SUM(G2164)</f>
        <v>508401900</v>
      </c>
      <c r="H2163" s="42"/>
    </row>
    <row r="2164" spans="1:771 1026:1795 2050:2819 3074:3843 4098:4867 5122:5891 6146:6915 7170:7939 8194:8963 9218:9987 10242:11011 11266:12035 12290:13059 13314:14083 14338:15107 15362:16131" s="35" customFormat="1" ht="62.4" x14ac:dyDescent="0.3">
      <c r="A2164" s="36"/>
      <c r="B2164" s="72" t="s">
        <v>1510</v>
      </c>
      <c r="C2164" s="48" t="s">
        <v>38</v>
      </c>
      <c r="D2164" s="39" t="s">
        <v>13</v>
      </c>
      <c r="E2164" s="44">
        <v>26.1</v>
      </c>
      <c r="F2164" s="161">
        <v>19479000</v>
      </c>
      <c r="G2164" s="40">
        <f>E2164*F2164</f>
        <v>508401900</v>
      </c>
      <c r="H2164" s="42"/>
    </row>
    <row r="2165" spans="1:771 1026:1795 2050:2819 3074:3843 4098:4867 5122:5891 6146:6915 7170:7939 8194:8963 9218:9987 10242:11011 11266:12035 12290:13059 13314:14083 14338:15107 15362:16131" s="35" customFormat="1" x14ac:dyDescent="0.3">
      <c r="A2165" s="36"/>
      <c r="B2165" s="72" t="s">
        <v>1653</v>
      </c>
      <c r="C2165" s="47" t="s">
        <v>35</v>
      </c>
      <c r="D2165" s="39"/>
      <c r="E2165" s="73"/>
      <c r="F2165" s="40"/>
      <c r="G2165" s="41">
        <f>SUM(G2166:G2168)</f>
        <v>4783948.5</v>
      </c>
      <c r="H2165" s="45"/>
    </row>
    <row r="2166" spans="1:771 1026:1795 2050:2819 3074:3843 4098:4867 5122:5891 6146:6915 7170:7939 8194:8963 9218:9987 10242:11011 11266:12035 12290:13059 13314:14083 14338:15107 15362:16131" s="35" customFormat="1" ht="46.8" x14ac:dyDescent="0.3">
      <c r="A2166" s="36"/>
      <c r="B2166" s="38"/>
      <c r="C2166" s="66" t="s">
        <v>1656</v>
      </c>
      <c r="D2166" s="39" t="s">
        <v>13</v>
      </c>
      <c r="E2166" s="73">
        <f>2*9.5</f>
        <v>19</v>
      </c>
      <c r="F2166" s="74">
        <f>540000*40%</f>
        <v>216000</v>
      </c>
      <c r="G2166" s="40">
        <f>E2166*F2166</f>
        <v>4104000</v>
      </c>
      <c r="H2166" s="45" t="s">
        <v>2554</v>
      </c>
    </row>
    <row r="2167" spans="1:771 1026:1795 2050:2819 3074:3843 4098:4867 5122:5891 6146:6915 7170:7939 8194:8963 9218:9987 10242:11011 11266:12035 12290:13059 13314:14083 14338:15107 15362:16131" s="35" customFormat="1" ht="18.600000000000001" x14ac:dyDescent="0.3">
      <c r="A2167" s="36"/>
      <c r="B2167" s="38"/>
      <c r="C2167" s="66" t="s">
        <v>189</v>
      </c>
      <c r="D2167" s="39" t="s">
        <v>104</v>
      </c>
      <c r="E2167" s="73">
        <f>1.65*2.9*0.1</f>
        <v>0.47849999999999993</v>
      </c>
      <c r="F2167" s="40">
        <v>1421000</v>
      </c>
      <c r="G2167" s="40">
        <f>E2167*F2167</f>
        <v>679948.49999999988</v>
      </c>
      <c r="H2167" s="45"/>
    </row>
    <row r="2168" spans="1:771 1026:1795 2050:2819 3074:3843 4098:4867 5122:5891 6146:6915 7170:7939 8194:8963 9218:9987 10242:11011 11266:12035 12290:13059 13314:14083 14338:15107 15362:16131" s="35" customFormat="1" ht="65.400000000000006" thickBot="1" x14ac:dyDescent="0.35">
      <c r="A2168" s="53"/>
      <c r="B2168" s="54"/>
      <c r="C2168" s="55" t="s">
        <v>2331</v>
      </c>
      <c r="D2168" s="56"/>
      <c r="E2168" s="5"/>
      <c r="F2168" s="6"/>
      <c r="G2168" s="57"/>
      <c r="H2168" s="58"/>
    </row>
    <row r="2169" spans="1:771 1026:1795 2050:2819 3074:3843 4098:4867 5122:5891 6146:6915 7170:7939 8194:8963 9218:9987 10242:11011 11266:12035 12290:13059 13314:14083 14338:15107 15362:16131" s="59" customFormat="1" ht="31.8" thickBot="1" x14ac:dyDescent="0.35">
      <c r="A2169" s="154"/>
      <c r="B2169" s="155" t="s">
        <v>26</v>
      </c>
      <c r="C2169" s="156"/>
      <c r="D2169" s="154"/>
      <c r="E2169" s="157"/>
      <c r="F2169" s="158"/>
      <c r="G2169" s="159">
        <f>SUM(G2162:G2168)/2</f>
        <v>513185848.5</v>
      </c>
      <c r="H2169" s="160"/>
      <c r="IX2169" s="35"/>
      <c r="IY2169" s="35"/>
      <c r="ST2169" s="35"/>
      <c r="SU2169" s="35"/>
      <c r="ACP2169" s="35"/>
      <c r="ACQ2169" s="35"/>
      <c r="AML2169" s="35"/>
      <c r="AMM2169" s="35"/>
      <c r="AWH2169" s="35"/>
      <c r="AWI2169" s="35"/>
      <c r="BGD2169" s="35"/>
      <c r="BGE2169" s="35"/>
      <c r="BPZ2169" s="35"/>
      <c r="BQA2169" s="35"/>
      <c r="BZV2169" s="35"/>
      <c r="BZW2169" s="35"/>
      <c r="CJR2169" s="35"/>
      <c r="CJS2169" s="35"/>
      <c r="CTN2169" s="35"/>
      <c r="CTO2169" s="35"/>
      <c r="DDJ2169" s="35"/>
      <c r="DDK2169" s="35"/>
      <c r="DNF2169" s="35"/>
      <c r="DNG2169" s="35"/>
      <c r="DXB2169" s="35"/>
      <c r="DXC2169" s="35"/>
      <c r="EGX2169" s="35"/>
      <c r="EGY2169" s="35"/>
      <c r="EQT2169" s="35"/>
      <c r="EQU2169" s="35"/>
      <c r="FAP2169" s="35"/>
      <c r="FAQ2169" s="35"/>
      <c r="FKL2169" s="35"/>
      <c r="FKM2169" s="35"/>
      <c r="FUH2169" s="35"/>
      <c r="FUI2169" s="35"/>
      <c r="GED2169" s="35"/>
      <c r="GEE2169" s="35"/>
      <c r="GNZ2169" s="35"/>
      <c r="GOA2169" s="35"/>
      <c r="GXV2169" s="35"/>
      <c r="GXW2169" s="35"/>
      <c r="HHR2169" s="35"/>
      <c r="HHS2169" s="35"/>
      <c r="HRN2169" s="35"/>
      <c r="HRO2169" s="35"/>
      <c r="IBJ2169" s="35"/>
      <c r="IBK2169" s="35"/>
      <c r="ILF2169" s="35"/>
      <c r="ILG2169" s="35"/>
      <c r="IVB2169" s="35"/>
      <c r="IVC2169" s="35"/>
      <c r="JEX2169" s="35"/>
      <c r="JEY2169" s="35"/>
      <c r="JOT2169" s="35"/>
      <c r="JOU2169" s="35"/>
      <c r="JYP2169" s="35"/>
      <c r="JYQ2169" s="35"/>
      <c r="KIL2169" s="35"/>
      <c r="KIM2169" s="35"/>
      <c r="KSH2169" s="35"/>
      <c r="KSI2169" s="35"/>
      <c r="LCD2169" s="35"/>
      <c r="LCE2169" s="35"/>
      <c r="LLZ2169" s="35"/>
      <c r="LMA2169" s="35"/>
      <c r="LVV2169" s="35"/>
      <c r="LVW2169" s="35"/>
      <c r="MFR2169" s="35"/>
      <c r="MFS2169" s="35"/>
      <c r="MPN2169" s="35"/>
      <c r="MPO2169" s="35"/>
      <c r="MZJ2169" s="35"/>
      <c r="MZK2169" s="35"/>
      <c r="NJF2169" s="35"/>
      <c r="NJG2169" s="35"/>
      <c r="NTB2169" s="35"/>
      <c r="NTC2169" s="35"/>
      <c r="OCX2169" s="35"/>
      <c r="OCY2169" s="35"/>
      <c r="OMT2169" s="35"/>
      <c r="OMU2169" s="35"/>
      <c r="OWP2169" s="35"/>
      <c r="OWQ2169" s="35"/>
      <c r="PGL2169" s="35"/>
      <c r="PGM2169" s="35"/>
      <c r="PQH2169" s="35"/>
      <c r="PQI2169" s="35"/>
      <c r="QAD2169" s="35"/>
      <c r="QAE2169" s="35"/>
      <c r="QJZ2169" s="35"/>
      <c r="QKA2169" s="35"/>
      <c r="QTV2169" s="35"/>
      <c r="QTW2169" s="35"/>
      <c r="RDR2169" s="35"/>
      <c r="RDS2169" s="35"/>
      <c r="RNN2169" s="35"/>
      <c r="RNO2169" s="35"/>
      <c r="RXJ2169" s="35"/>
      <c r="RXK2169" s="35"/>
      <c r="SHF2169" s="35"/>
      <c r="SHG2169" s="35"/>
      <c r="SRB2169" s="35"/>
      <c r="SRC2169" s="35"/>
      <c r="TAX2169" s="35"/>
      <c r="TAY2169" s="35"/>
      <c r="TKT2169" s="35"/>
      <c r="TKU2169" s="35"/>
      <c r="TUP2169" s="35"/>
      <c r="TUQ2169" s="35"/>
      <c r="UEL2169" s="35"/>
      <c r="UEM2169" s="35"/>
      <c r="UOH2169" s="35"/>
      <c r="UOI2169" s="35"/>
      <c r="UYD2169" s="35"/>
      <c r="UYE2169" s="35"/>
      <c r="VHZ2169" s="35"/>
      <c r="VIA2169" s="35"/>
      <c r="VRV2169" s="35"/>
      <c r="VRW2169" s="35"/>
      <c r="WBR2169" s="35"/>
      <c r="WBS2169" s="35"/>
      <c r="WLN2169" s="35"/>
      <c r="WLO2169" s="35"/>
      <c r="WVJ2169" s="35"/>
      <c r="WVK2169" s="35"/>
    </row>
    <row r="2170" spans="1:771 1026:1795 2050:2819 3074:3843 4098:4867 5122:5891 6146:6915 7170:7939 8194:8963 9218:9987 10242:11011 11266:12035 12290:13059 13314:14083 14338:15107 15362:16131" s="35" customFormat="1" ht="55.2" x14ac:dyDescent="0.3">
      <c r="A2170" s="28">
        <v>203</v>
      </c>
      <c r="B2170" s="29" t="s">
        <v>1657</v>
      </c>
      <c r="C2170" s="30" t="s">
        <v>1660</v>
      </c>
      <c r="D2170" s="31" t="s">
        <v>13</v>
      </c>
      <c r="E2170" s="32">
        <v>8.4</v>
      </c>
      <c r="F2170" s="33"/>
      <c r="G2170" s="33"/>
      <c r="H2170" s="34" t="s">
        <v>1661</v>
      </c>
    </row>
    <row r="2171" spans="1:771 1026:1795 2050:2819 3074:3843 4098:4867 5122:5891 6146:6915 7170:7939 8194:8963 9218:9987 10242:11011 11266:12035 12290:13059 13314:14083 14338:15107 15362:16131" s="35" customFormat="1" x14ac:dyDescent="0.3">
      <c r="A2171" s="36"/>
      <c r="B2171" s="72" t="s">
        <v>1658</v>
      </c>
      <c r="C2171" s="38" t="s">
        <v>14</v>
      </c>
      <c r="D2171" s="39"/>
      <c r="E2171" s="44"/>
      <c r="F2171" s="40"/>
      <c r="G2171" s="41">
        <f>SUM(G2172)</f>
        <v>87393600</v>
      </c>
      <c r="H2171" s="42"/>
    </row>
    <row r="2172" spans="1:771 1026:1795 2050:2819 3074:3843 4098:4867 5122:5891 6146:6915 7170:7939 8194:8963 9218:9987 10242:11011 11266:12035 12290:13059 13314:14083 14338:15107 15362:16131" s="35" customFormat="1" ht="62.4" x14ac:dyDescent="0.3">
      <c r="A2172" s="36"/>
      <c r="B2172" s="72" t="s">
        <v>1510</v>
      </c>
      <c r="C2172" s="43" t="s">
        <v>55</v>
      </c>
      <c r="D2172" s="39" t="s">
        <v>13</v>
      </c>
      <c r="E2172" s="44">
        <v>8.4</v>
      </c>
      <c r="F2172" s="153">
        <v>10404000</v>
      </c>
      <c r="G2172" s="40">
        <f>E2172*F2172</f>
        <v>87393600</v>
      </c>
      <c r="H2172" s="42"/>
    </row>
    <row r="2173" spans="1:771 1026:1795 2050:2819 3074:3843 4098:4867 5122:5891 6146:6915 7170:7939 8194:8963 9218:9987 10242:11011 11266:12035 12290:13059 13314:14083 14338:15107 15362:16131" s="35" customFormat="1" x14ac:dyDescent="0.3">
      <c r="A2173" s="36"/>
      <c r="B2173" s="72" t="s">
        <v>1659</v>
      </c>
      <c r="C2173" s="47" t="s">
        <v>35</v>
      </c>
      <c r="D2173" s="39"/>
      <c r="E2173" s="73"/>
      <c r="F2173" s="40"/>
      <c r="G2173" s="41">
        <f>SUM(G2174:G2176)</f>
        <v>4864000</v>
      </c>
      <c r="H2173" s="45"/>
    </row>
    <row r="2174" spans="1:771 1026:1795 2050:2819 3074:3843 4098:4867 5122:5891 6146:6915 7170:7939 8194:8963 9218:9987 10242:11011 11266:12035 12290:13059 13314:14083 14338:15107 15362:16131" s="35" customFormat="1" ht="46.8" x14ac:dyDescent="0.3">
      <c r="A2174" s="36"/>
      <c r="B2174" s="38"/>
      <c r="C2174" s="66" t="s">
        <v>1663</v>
      </c>
      <c r="D2174" s="39" t="s">
        <v>13</v>
      </c>
      <c r="E2174" s="73">
        <v>0.2</v>
      </c>
      <c r="F2174" s="74"/>
      <c r="G2174" s="40">
        <f>E2174*F2174</f>
        <v>0</v>
      </c>
      <c r="H2174" s="45" t="s">
        <v>2555</v>
      </c>
    </row>
    <row r="2175" spans="1:771 1026:1795 2050:2819 3074:3843 4098:4867 5122:5891 6146:6915 7170:7939 8194:8963 9218:9987 10242:11011 11266:12035 12290:13059 13314:14083 14338:15107 15362:16131" s="35" customFormat="1" ht="46.8" x14ac:dyDescent="0.3">
      <c r="A2175" s="36"/>
      <c r="B2175" s="38"/>
      <c r="C2175" s="66" t="s">
        <v>1662</v>
      </c>
      <c r="D2175" s="39" t="s">
        <v>13</v>
      </c>
      <c r="E2175" s="73">
        <v>7.7</v>
      </c>
      <c r="F2175" s="74"/>
      <c r="G2175" s="40">
        <f>E2175*F2175</f>
        <v>0</v>
      </c>
      <c r="H2175" s="45" t="s">
        <v>2556</v>
      </c>
    </row>
    <row r="2176" spans="1:771 1026:1795 2050:2819 3074:3843 4098:4867 5122:5891 6146:6915 7170:7939 8194:8963 9218:9987 10242:11011 11266:12035 12290:13059 13314:14083 14338:15107 15362:16131" s="35" customFormat="1" x14ac:dyDescent="0.3">
      <c r="A2176" s="36"/>
      <c r="B2176" s="38"/>
      <c r="C2176" s="66" t="s">
        <v>1149</v>
      </c>
      <c r="D2176" s="39" t="s">
        <v>991</v>
      </c>
      <c r="E2176" s="73">
        <v>1</v>
      </c>
      <c r="F2176" s="40">
        <f>2976000+(236000*8)</f>
        <v>4864000</v>
      </c>
      <c r="G2176" s="40">
        <f>E2176*F2176</f>
        <v>4864000</v>
      </c>
      <c r="H2176" s="45"/>
    </row>
    <row r="2177" spans="1:771 1026:1795 2050:2819 3074:3843 4098:4867 5122:5891 6146:6915 7170:7939 8194:8963 9218:9987 10242:11011 11266:12035 12290:13059 13314:14083 14338:15107 15362:16131" s="35" customFormat="1" x14ac:dyDescent="0.3">
      <c r="A2177" s="36"/>
      <c r="B2177" s="46"/>
      <c r="C2177" s="51" t="s">
        <v>23</v>
      </c>
      <c r="D2177" s="39"/>
      <c r="E2177" s="1"/>
      <c r="F2177" s="2"/>
      <c r="G2177" s="41">
        <f>SUM(G2178)</f>
        <v>3060000</v>
      </c>
      <c r="H2177" s="52"/>
    </row>
    <row r="2178" spans="1:771 1026:1795 2050:2819 3074:3843 4098:4867 5122:5891 6146:6915 7170:7939 8194:8963 9218:9987 10242:11011 11266:12035 12290:13059 13314:14083 14338:15107 15362:16131" s="35" customFormat="1" x14ac:dyDescent="0.3">
      <c r="A2178" s="36"/>
      <c r="B2178" s="46"/>
      <c r="C2178" s="50" t="s">
        <v>24</v>
      </c>
      <c r="D2178" s="39" t="s">
        <v>25</v>
      </c>
      <c r="E2178" s="1">
        <f>1*30*6</f>
        <v>180</v>
      </c>
      <c r="F2178" s="2">
        <v>17000</v>
      </c>
      <c r="G2178" s="40">
        <f>E2178*F2178</f>
        <v>3060000</v>
      </c>
      <c r="H2178" s="42"/>
    </row>
    <row r="2179" spans="1:771 1026:1795 2050:2819 3074:3843 4098:4867 5122:5891 6146:6915 7170:7939 8194:8963 9218:9987 10242:11011 11266:12035 12290:13059 13314:14083 14338:15107 15362:16131" s="35" customFormat="1" ht="65.400000000000006" thickBot="1" x14ac:dyDescent="0.35">
      <c r="A2179" s="53"/>
      <c r="B2179" s="54"/>
      <c r="C2179" s="55" t="s">
        <v>2331</v>
      </c>
      <c r="D2179" s="56"/>
      <c r="E2179" s="5"/>
      <c r="F2179" s="6"/>
      <c r="G2179" s="57"/>
      <c r="H2179" s="58"/>
    </row>
    <row r="2180" spans="1:771 1026:1795 2050:2819 3074:3843 4098:4867 5122:5891 6146:6915 7170:7939 8194:8963 9218:9987 10242:11011 11266:12035 12290:13059 13314:14083 14338:15107 15362:16131" s="59" customFormat="1" ht="31.8" thickBot="1" x14ac:dyDescent="0.35">
      <c r="A2180" s="154"/>
      <c r="B2180" s="155" t="s">
        <v>26</v>
      </c>
      <c r="C2180" s="156"/>
      <c r="D2180" s="154"/>
      <c r="E2180" s="157"/>
      <c r="F2180" s="158"/>
      <c r="G2180" s="159">
        <f>SUM(G2170:G2179)/2</f>
        <v>95317600</v>
      </c>
      <c r="H2180" s="160"/>
      <c r="IX2180" s="35"/>
      <c r="IY2180" s="35"/>
      <c r="ST2180" s="35"/>
      <c r="SU2180" s="35"/>
      <c r="ACP2180" s="35"/>
      <c r="ACQ2180" s="35"/>
      <c r="AML2180" s="35"/>
      <c r="AMM2180" s="35"/>
      <c r="AWH2180" s="35"/>
      <c r="AWI2180" s="35"/>
      <c r="BGD2180" s="35"/>
      <c r="BGE2180" s="35"/>
      <c r="BPZ2180" s="35"/>
      <c r="BQA2180" s="35"/>
      <c r="BZV2180" s="35"/>
      <c r="BZW2180" s="35"/>
      <c r="CJR2180" s="35"/>
      <c r="CJS2180" s="35"/>
      <c r="CTN2180" s="35"/>
      <c r="CTO2180" s="35"/>
      <c r="DDJ2180" s="35"/>
      <c r="DDK2180" s="35"/>
      <c r="DNF2180" s="35"/>
      <c r="DNG2180" s="35"/>
      <c r="DXB2180" s="35"/>
      <c r="DXC2180" s="35"/>
      <c r="EGX2180" s="35"/>
      <c r="EGY2180" s="35"/>
      <c r="EQT2180" s="35"/>
      <c r="EQU2180" s="35"/>
      <c r="FAP2180" s="35"/>
      <c r="FAQ2180" s="35"/>
      <c r="FKL2180" s="35"/>
      <c r="FKM2180" s="35"/>
      <c r="FUH2180" s="35"/>
      <c r="FUI2180" s="35"/>
      <c r="GED2180" s="35"/>
      <c r="GEE2180" s="35"/>
      <c r="GNZ2180" s="35"/>
      <c r="GOA2180" s="35"/>
      <c r="GXV2180" s="35"/>
      <c r="GXW2180" s="35"/>
      <c r="HHR2180" s="35"/>
      <c r="HHS2180" s="35"/>
      <c r="HRN2180" s="35"/>
      <c r="HRO2180" s="35"/>
      <c r="IBJ2180" s="35"/>
      <c r="IBK2180" s="35"/>
      <c r="ILF2180" s="35"/>
      <c r="ILG2180" s="35"/>
      <c r="IVB2180" s="35"/>
      <c r="IVC2180" s="35"/>
      <c r="JEX2180" s="35"/>
      <c r="JEY2180" s="35"/>
      <c r="JOT2180" s="35"/>
      <c r="JOU2180" s="35"/>
      <c r="JYP2180" s="35"/>
      <c r="JYQ2180" s="35"/>
      <c r="KIL2180" s="35"/>
      <c r="KIM2180" s="35"/>
      <c r="KSH2180" s="35"/>
      <c r="KSI2180" s="35"/>
      <c r="LCD2180" s="35"/>
      <c r="LCE2180" s="35"/>
      <c r="LLZ2180" s="35"/>
      <c r="LMA2180" s="35"/>
      <c r="LVV2180" s="35"/>
      <c r="LVW2180" s="35"/>
      <c r="MFR2180" s="35"/>
      <c r="MFS2180" s="35"/>
      <c r="MPN2180" s="35"/>
      <c r="MPO2180" s="35"/>
      <c r="MZJ2180" s="35"/>
      <c r="MZK2180" s="35"/>
      <c r="NJF2180" s="35"/>
      <c r="NJG2180" s="35"/>
      <c r="NTB2180" s="35"/>
      <c r="NTC2180" s="35"/>
      <c r="OCX2180" s="35"/>
      <c r="OCY2180" s="35"/>
      <c r="OMT2180" s="35"/>
      <c r="OMU2180" s="35"/>
      <c r="OWP2180" s="35"/>
      <c r="OWQ2180" s="35"/>
      <c r="PGL2180" s="35"/>
      <c r="PGM2180" s="35"/>
      <c r="PQH2180" s="35"/>
      <c r="PQI2180" s="35"/>
      <c r="QAD2180" s="35"/>
      <c r="QAE2180" s="35"/>
      <c r="QJZ2180" s="35"/>
      <c r="QKA2180" s="35"/>
      <c r="QTV2180" s="35"/>
      <c r="QTW2180" s="35"/>
      <c r="RDR2180" s="35"/>
      <c r="RDS2180" s="35"/>
      <c r="RNN2180" s="35"/>
      <c r="RNO2180" s="35"/>
      <c r="RXJ2180" s="35"/>
      <c r="RXK2180" s="35"/>
      <c r="SHF2180" s="35"/>
      <c r="SHG2180" s="35"/>
      <c r="SRB2180" s="35"/>
      <c r="SRC2180" s="35"/>
      <c r="TAX2180" s="35"/>
      <c r="TAY2180" s="35"/>
      <c r="TKT2180" s="35"/>
      <c r="TKU2180" s="35"/>
      <c r="TUP2180" s="35"/>
      <c r="TUQ2180" s="35"/>
      <c r="UEL2180" s="35"/>
      <c r="UEM2180" s="35"/>
      <c r="UOH2180" s="35"/>
      <c r="UOI2180" s="35"/>
      <c r="UYD2180" s="35"/>
      <c r="UYE2180" s="35"/>
      <c r="VHZ2180" s="35"/>
      <c r="VIA2180" s="35"/>
      <c r="VRV2180" s="35"/>
      <c r="VRW2180" s="35"/>
      <c r="WBR2180" s="35"/>
      <c r="WBS2180" s="35"/>
      <c r="WLN2180" s="35"/>
      <c r="WLO2180" s="35"/>
      <c r="WVJ2180" s="35"/>
      <c r="WVK2180" s="35"/>
    </row>
    <row r="2181" spans="1:771 1026:1795 2050:2819 3074:3843 4098:4867 5122:5891 6146:6915 7170:7939 8194:8963 9218:9987 10242:11011 11266:12035 12290:13059 13314:14083 14338:15107 15362:16131" s="35" customFormat="1" ht="55.2" x14ac:dyDescent="0.3">
      <c r="A2181" s="28">
        <v>204</v>
      </c>
      <c r="B2181" s="29" t="s">
        <v>1664</v>
      </c>
      <c r="C2181" s="30" t="s">
        <v>1668</v>
      </c>
      <c r="D2181" s="31" t="s">
        <v>13</v>
      </c>
      <c r="E2181" s="32">
        <v>10.199999999999999</v>
      </c>
      <c r="F2181" s="33"/>
      <c r="G2181" s="33"/>
      <c r="H2181" s="34" t="s">
        <v>1669</v>
      </c>
    </row>
    <row r="2182" spans="1:771 1026:1795 2050:2819 3074:3843 4098:4867 5122:5891 6146:6915 7170:7939 8194:8963 9218:9987 10242:11011 11266:12035 12290:13059 13314:14083 14338:15107 15362:16131" s="35" customFormat="1" x14ac:dyDescent="0.3">
      <c r="A2182" s="36"/>
      <c r="B2182" s="72" t="s">
        <v>1665</v>
      </c>
      <c r="C2182" s="38" t="s">
        <v>14</v>
      </c>
      <c r="D2182" s="39"/>
      <c r="E2182" s="44"/>
      <c r="F2182" s="40"/>
      <c r="G2182" s="41">
        <f>SUM(G2183)</f>
        <v>198685800</v>
      </c>
      <c r="H2182" s="42"/>
    </row>
    <row r="2183" spans="1:771 1026:1795 2050:2819 3074:3843 4098:4867 5122:5891 6146:6915 7170:7939 8194:8963 9218:9987 10242:11011 11266:12035 12290:13059 13314:14083 14338:15107 15362:16131" s="35" customFormat="1" ht="78" x14ac:dyDescent="0.3">
      <c r="A2183" s="36"/>
      <c r="B2183" s="72" t="s">
        <v>1666</v>
      </c>
      <c r="C2183" s="48" t="s">
        <v>38</v>
      </c>
      <c r="D2183" s="39" t="s">
        <v>13</v>
      </c>
      <c r="E2183" s="44">
        <v>10.199999999999999</v>
      </c>
      <c r="F2183" s="161">
        <v>19479000</v>
      </c>
      <c r="G2183" s="40">
        <f>E2183*F2183</f>
        <v>198685800</v>
      </c>
      <c r="H2183" s="42"/>
    </row>
    <row r="2184" spans="1:771 1026:1795 2050:2819 3074:3843 4098:4867 5122:5891 6146:6915 7170:7939 8194:8963 9218:9987 10242:11011 11266:12035 12290:13059 13314:14083 14338:15107 15362:16131" s="35" customFormat="1" x14ac:dyDescent="0.3">
      <c r="A2184" s="36"/>
      <c r="B2184" s="72" t="s">
        <v>1667</v>
      </c>
      <c r="C2184" s="47" t="s">
        <v>35</v>
      </c>
      <c r="D2184" s="39"/>
      <c r="E2184" s="73"/>
      <c r="F2184" s="40"/>
      <c r="G2184" s="41">
        <f>SUM(G2185:G2189)</f>
        <v>25759000</v>
      </c>
      <c r="H2184" s="45"/>
    </row>
    <row r="2185" spans="1:771 1026:1795 2050:2819 3074:3843 4098:4867 5122:5891 6146:6915 7170:7939 8194:8963 9218:9987 10242:11011 11266:12035 12290:13059 13314:14083 14338:15107 15362:16131" s="35" customFormat="1" ht="82.8" x14ac:dyDescent="0.3">
      <c r="A2185" s="36"/>
      <c r="B2185" s="38"/>
      <c r="C2185" s="101" t="s">
        <v>1670</v>
      </c>
      <c r="D2185" s="39" t="s">
        <v>13</v>
      </c>
      <c r="E2185" s="73">
        <v>10</v>
      </c>
      <c r="F2185" s="74">
        <f>3592000*40%</f>
        <v>1436800</v>
      </c>
      <c r="G2185" s="40">
        <f>E2185*F2185</f>
        <v>14368000</v>
      </c>
      <c r="H2185" s="45" t="s">
        <v>2557</v>
      </c>
    </row>
    <row r="2186" spans="1:771 1026:1795 2050:2819 3074:3843 4098:4867 5122:5891 6146:6915 7170:7939 8194:8963 9218:9987 10242:11011 11266:12035 12290:13059 13314:14083 14338:15107 15362:16131" s="35" customFormat="1" ht="18.600000000000001" x14ac:dyDescent="0.3">
      <c r="A2186" s="36"/>
      <c r="B2186" s="38"/>
      <c r="C2186" s="66" t="s">
        <v>1671</v>
      </c>
      <c r="D2186" s="39" t="s">
        <v>13</v>
      </c>
      <c r="E2186" s="44">
        <v>22.5</v>
      </c>
      <c r="F2186" s="74">
        <v>400000</v>
      </c>
      <c r="G2186" s="40">
        <f>E2186*F2186</f>
        <v>9000000</v>
      </c>
      <c r="H2186" s="45"/>
    </row>
    <row r="2187" spans="1:771 1026:1795 2050:2819 3074:3843 4098:4867 5122:5891 6146:6915 7170:7939 8194:8963 9218:9987 10242:11011 11266:12035 12290:13059 13314:14083 14338:15107 15362:16131" s="35" customFormat="1" x14ac:dyDescent="0.3">
      <c r="A2187" s="36"/>
      <c r="B2187" s="38"/>
      <c r="C2187" s="66" t="s">
        <v>105</v>
      </c>
      <c r="D2187" s="39" t="s">
        <v>991</v>
      </c>
      <c r="E2187" s="73">
        <v>1</v>
      </c>
      <c r="F2187" s="74"/>
      <c r="G2187" s="40">
        <f>E2187*F2187</f>
        <v>0</v>
      </c>
      <c r="H2187" s="52" t="s">
        <v>2353</v>
      </c>
    </row>
    <row r="2188" spans="1:771 1026:1795 2050:2819 3074:3843 4098:4867 5122:5891 6146:6915 7170:7939 8194:8963 9218:9987 10242:11011 11266:12035 12290:13059 13314:14083 14338:15107 15362:16131" s="35" customFormat="1" ht="31.2" x14ac:dyDescent="0.3">
      <c r="A2188" s="36"/>
      <c r="B2188" s="38"/>
      <c r="C2188" s="66" t="s">
        <v>1672</v>
      </c>
      <c r="D2188" s="39" t="s">
        <v>991</v>
      </c>
      <c r="E2188" s="73">
        <v>1</v>
      </c>
      <c r="F2188" s="74">
        <f>391000+2000000</f>
        <v>2391000</v>
      </c>
      <c r="G2188" s="40">
        <f>E2188*F2188</f>
        <v>2391000</v>
      </c>
      <c r="H2188" s="45"/>
    </row>
    <row r="2189" spans="1:771 1026:1795 2050:2819 3074:3843 4098:4867 5122:5891 6146:6915 7170:7939 8194:8963 9218:9987 10242:11011 11266:12035 12290:13059 13314:14083 14338:15107 15362:16131" s="35" customFormat="1" ht="65.400000000000006" thickBot="1" x14ac:dyDescent="0.35">
      <c r="A2189" s="53"/>
      <c r="B2189" s="54"/>
      <c r="C2189" s="55" t="s">
        <v>2331</v>
      </c>
      <c r="D2189" s="56"/>
      <c r="E2189" s="5"/>
      <c r="F2189" s="6"/>
      <c r="G2189" s="57"/>
      <c r="H2189" s="58"/>
    </row>
    <row r="2190" spans="1:771 1026:1795 2050:2819 3074:3843 4098:4867 5122:5891 6146:6915 7170:7939 8194:8963 9218:9987 10242:11011 11266:12035 12290:13059 13314:14083 14338:15107 15362:16131" s="59" customFormat="1" ht="31.8" thickBot="1" x14ac:dyDescent="0.35">
      <c r="A2190" s="154"/>
      <c r="B2190" s="155" t="s">
        <v>26</v>
      </c>
      <c r="C2190" s="156"/>
      <c r="D2190" s="154"/>
      <c r="E2190" s="157"/>
      <c r="F2190" s="158"/>
      <c r="G2190" s="159">
        <f>SUM(G2181:G2189)/2</f>
        <v>224444800</v>
      </c>
      <c r="H2190" s="160"/>
      <c r="IX2190" s="35"/>
      <c r="IY2190" s="35"/>
      <c r="ST2190" s="35"/>
      <c r="SU2190" s="35"/>
      <c r="ACP2190" s="35"/>
      <c r="ACQ2190" s="35"/>
      <c r="AML2190" s="35"/>
      <c r="AMM2190" s="35"/>
      <c r="AWH2190" s="35"/>
      <c r="AWI2190" s="35"/>
      <c r="BGD2190" s="35"/>
      <c r="BGE2190" s="35"/>
      <c r="BPZ2190" s="35"/>
      <c r="BQA2190" s="35"/>
      <c r="BZV2190" s="35"/>
      <c r="BZW2190" s="35"/>
      <c r="CJR2190" s="35"/>
      <c r="CJS2190" s="35"/>
      <c r="CTN2190" s="35"/>
      <c r="CTO2190" s="35"/>
      <c r="DDJ2190" s="35"/>
      <c r="DDK2190" s="35"/>
      <c r="DNF2190" s="35"/>
      <c r="DNG2190" s="35"/>
      <c r="DXB2190" s="35"/>
      <c r="DXC2190" s="35"/>
      <c r="EGX2190" s="35"/>
      <c r="EGY2190" s="35"/>
      <c r="EQT2190" s="35"/>
      <c r="EQU2190" s="35"/>
      <c r="FAP2190" s="35"/>
      <c r="FAQ2190" s="35"/>
      <c r="FKL2190" s="35"/>
      <c r="FKM2190" s="35"/>
      <c r="FUH2190" s="35"/>
      <c r="FUI2190" s="35"/>
      <c r="GED2190" s="35"/>
      <c r="GEE2190" s="35"/>
      <c r="GNZ2190" s="35"/>
      <c r="GOA2190" s="35"/>
      <c r="GXV2190" s="35"/>
      <c r="GXW2190" s="35"/>
      <c r="HHR2190" s="35"/>
      <c r="HHS2190" s="35"/>
      <c r="HRN2190" s="35"/>
      <c r="HRO2190" s="35"/>
      <c r="IBJ2190" s="35"/>
      <c r="IBK2190" s="35"/>
      <c r="ILF2190" s="35"/>
      <c r="ILG2190" s="35"/>
      <c r="IVB2190" s="35"/>
      <c r="IVC2190" s="35"/>
      <c r="JEX2190" s="35"/>
      <c r="JEY2190" s="35"/>
      <c r="JOT2190" s="35"/>
      <c r="JOU2190" s="35"/>
      <c r="JYP2190" s="35"/>
      <c r="JYQ2190" s="35"/>
      <c r="KIL2190" s="35"/>
      <c r="KIM2190" s="35"/>
      <c r="KSH2190" s="35"/>
      <c r="KSI2190" s="35"/>
      <c r="LCD2190" s="35"/>
      <c r="LCE2190" s="35"/>
      <c r="LLZ2190" s="35"/>
      <c r="LMA2190" s="35"/>
      <c r="LVV2190" s="35"/>
      <c r="LVW2190" s="35"/>
      <c r="MFR2190" s="35"/>
      <c r="MFS2190" s="35"/>
      <c r="MPN2190" s="35"/>
      <c r="MPO2190" s="35"/>
      <c r="MZJ2190" s="35"/>
      <c r="MZK2190" s="35"/>
      <c r="NJF2190" s="35"/>
      <c r="NJG2190" s="35"/>
      <c r="NTB2190" s="35"/>
      <c r="NTC2190" s="35"/>
      <c r="OCX2190" s="35"/>
      <c r="OCY2190" s="35"/>
      <c r="OMT2190" s="35"/>
      <c r="OMU2190" s="35"/>
      <c r="OWP2190" s="35"/>
      <c r="OWQ2190" s="35"/>
      <c r="PGL2190" s="35"/>
      <c r="PGM2190" s="35"/>
      <c r="PQH2190" s="35"/>
      <c r="PQI2190" s="35"/>
      <c r="QAD2190" s="35"/>
      <c r="QAE2190" s="35"/>
      <c r="QJZ2190" s="35"/>
      <c r="QKA2190" s="35"/>
      <c r="QTV2190" s="35"/>
      <c r="QTW2190" s="35"/>
      <c r="RDR2190" s="35"/>
      <c r="RDS2190" s="35"/>
      <c r="RNN2190" s="35"/>
      <c r="RNO2190" s="35"/>
      <c r="RXJ2190" s="35"/>
      <c r="RXK2190" s="35"/>
      <c r="SHF2190" s="35"/>
      <c r="SHG2190" s="35"/>
      <c r="SRB2190" s="35"/>
      <c r="SRC2190" s="35"/>
      <c r="TAX2190" s="35"/>
      <c r="TAY2190" s="35"/>
      <c r="TKT2190" s="35"/>
      <c r="TKU2190" s="35"/>
      <c r="TUP2190" s="35"/>
      <c r="TUQ2190" s="35"/>
      <c r="UEL2190" s="35"/>
      <c r="UEM2190" s="35"/>
      <c r="UOH2190" s="35"/>
      <c r="UOI2190" s="35"/>
      <c r="UYD2190" s="35"/>
      <c r="UYE2190" s="35"/>
      <c r="VHZ2190" s="35"/>
      <c r="VIA2190" s="35"/>
      <c r="VRV2190" s="35"/>
      <c r="VRW2190" s="35"/>
      <c r="WBR2190" s="35"/>
      <c r="WBS2190" s="35"/>
      <c r="WLN2190" s="35"/>
      <c r="WLO2190" s="35"/>
      <c r="WVJ2190" s="35"/>
      <c r="WVK2190" s="35"/>
    </row>
    <row r="2191" spans="1:771 1026:1795 2050:2819 3074:3843 4098:4867 5122:5891 6146:6915 7170:7939 8194:8963 9218:9987 10242:11011 11266:12035 12290:13059 13314:14083 14338:15107 15362:16131" s="35" customFormat="1" ht="55.2" x14ac:dyDescent="0.3">
      <c r="A2191" s="28">
        <v>205</v>
      </c>
      <c r="B2191" s="29" t="s">
        <v>2286</v>
      </c>
      <c r="C2191" s="30" t="s">
        <v>1676</v>
      </c>
      <c r="D2191" s="31" t="s">
        <v>13</v>
      </c>
      <c r="E2191" s="32">
        <v>15.6</v>
      </c>
      <c r="F2191" s="33"/>
      <c r="G2191" s="33"/>
      <c r="H2191" s="34" t="s">
        <v>1677</v>
      </c>
    </row>
    <row r="2192" spans="1:771 1026:1795 2050:2819 3074:3843 4098:4867 5122:5891 6146:6915 7170:7939 8194:8963 9218:9987 10242:11011 11266:12035 12290:13059 13314:14083 14338:15107 15362:16131" s="35" customFormat="1" x14ac:dyDescent="0.3">
      <c r="A2192" s="36"/>
      <c r="B2192" s="72" t="s">
        <v>1673</v>
      </c>
      <c r="C2192" s="38" t="s">
        <v>14</v>
      </c>
      <c r="D2192" s="39"/>
      <c r="E2192" s="44"/>
      <c r="F2192" s="40"/>
      <c r="G2192" s="41">
        <f>SUM(G2193)</f>
        <v>303872400</v>
      </c>
      <c r="H2192" s="42"/>
    </row>
    <row r="2193" spans="1:771 1026:1795 2050:2819 3074:3843 4098:4867 5122:5891 6146:6915 7170:7939 8194:8963 9218:9987 10242:11011 11266:12035 12290:13059 13314:14083 14338:15107 15362:16131" s="35" customFormat="1" ht="78" x14ac:dyDescent="0.3">
      <c r="A2193" s="36"/>
      <c r="B2193" s="72" t="s">
        <v>1674</v>
      </c>
      <c r="C2193" s="48" t="s">
        <v>38</v>
      </c>
      <c r="D2193" s="39" t="s">
        <v>13</v>
      </c>
      <c r="E2193" s="44">
        <v>15.6</v>
      </c>
      <c r="F2193" s="161">
        <v>19479000</v>
      </c>
      <c r="G2193" s="40">
        <f>E2193*F2193</f>
        <v>303872400</v>
      </c>
      <c r="H2193" s="42"/>
    </row>
    <row r="2194" spans="1:771 1026:1795 2050:2819 3074:3843 4098:4867 5122:5891 6146:6915 7170:7939 8194:8963 9218:9987 10242:11011 11266:12035 12290:13059 13314:14083 14338:15107 15362:16131" s="35" customFormat="1" x14ac:dyDescent="0.3">
      <c r="A2194" s="36"/>
      <c r="B2194" s="72" t="s">
        <v>1675</v>
      </c>
      <c r="C2194" s="47" t="s">
        <v>35</v>
      </c>
      <c r="D2194" s="39"/>
      <c r="E2194" s="73"/>
      <c r="F2194" s="40"/>
      <c r="G2194" s="41">
        <f>SUM(G2195:G2199)</f>
        <v>7460160</v>
      </c>
      <c r="H2194" s="45"/>
    </row>
    <row r="2195" spans="1:771 1026:1795 2050:2819 3074:3843 4098:4867 5122:5891 6146:6915 7170:7939 8194:8963 9218:9987 10242:11011 11266:12035 12290:13059 13314:14083 14338:15107 15362:16131" s="35" customFormat="1" ht="46.8" x14ac:dyDescent="0.3">
      <c r="A2195" s="36"/>
      <c r="B2195" s="38"/>
      <c r="C2195" s="66" t="s">
        <v>1678</v>
      </c>
      <c r="D2195" s="39" t="s">
        <v>13</v>
      </c>
      <c r="E2195" s="73">
        <v>10.164</v>
      </c>
      <c r="F2195" s="74">
        <f>540000*40%</f>
        <v>216000</v>
      </c>
      <c r="G2195" s="40">
        <f>E2195*F2195</f>
        <v>2195424</v>
      </c>
      <c r="H2195" s="45" t="s">
        <v>2558</v>
      </c>
    </row>
    <row r="2196" spans="1:771 1026:1795 2050:2819 3074:3843 4098:4867 5122:5891 6146:6915 7170:7939 8194:8963 9218:9987 10242:11011 11266:12035 12290:13059 13314:14083 14338:15107 15362:16131" s="35" customFormat="1" ht="62.4" x14ac:dyDescent="0.3">
      <c r="A2196" s="36"/>
      <c r="B2196" s="38"/>
      <c r="C2196" s="66" t="s">
        <v>1679</v>
      </c>
      <c r="D2196" s="39" t="s">
        <v>13</v>
      </c>
      <c r="E2196" s="44">
        <v>3.1680000000000001</v>
      </c>
      <c r="F2196" s="74">
        <v>907000</v>
      </c>
      <c r="G2196" s="40">
        <f>E2196*F2196</f>
        <v>2873376</v>
      </c>
      <c r="H2196" s="35" t="s">
        <v>2375</v>
      </c>
    </row>
    <row r="2197" spans="1:771 1026:1795 2050:2819 3074:3843 4098:4867 5122:5891 6146:6915 7170:7939 8194:8963 9218:9987 10242:11011 11266:12035 12290:13059 13314:14083 14338:15107 15362:16131" s="35" customFormat="1" ht="18.600000000000001" x14ac:dyDescent="0.3">
      <c r="A2197" s="36"/>
      <c r="B2197" s="38"/>
      <c r="C2197" s="66" t="s">
        <v>189</v>
      </c>
      <c r="D2197" s="39" t="s">
        <v>128</v>
      </c>
      <c r="E2197" s="73">
        <v>0.96</v>
      </c>
      <c r="F2197" s="40">
        <v>1421000</v>
      </c>
      <c r="G2197" s="40">
        <f>E2197*F2197</f>
        <v>1364160</v>
      </c>
      <c r="H2197" s="45"/>
    </row>
    <row r="2198" spans="1:771 1026:1795 2050:2819 3074:3843 4098:4867 5122:5891 6146:6915 7170:7939 8194:8963 9218:9987 10242:11011 11266:12035 12290:13059 13314:14083 14338:15107 15362:16131" s="35" customFormat="1" ht="18.600000000000001" x14ac:dyDescent="0.3">
      <c r="A2198" s="36"/>
      <c r="B2198" s="38"/>
      <c r="C2198" s="66" t="s">
        <v>190</v>
      </c>
      <c r="D2198" s="39" t="s">
        <v>13</v>
      </c>
      <c r="E2198" s="73">
        <v>9.6</v>
      </c>
      <c r="F2198" s="74">
        <v>107000</v>
      </c>
      <c r="G2198" s="40">
        <f>E2198*F2198</f>
        <v>1027200</v>
      </c>
      <c r="H2198" s="45"/>
    </row>
    <row r="2199" spans="1:771 1026:1795 2050:2819 3074:3843 4098:4867 5122:5891 6146:6915 7170:7939 8194:8963 9218:9987 10242:11011 11266:12035 12290:13059 13314:14083 14338:15107 15362:16131" s="35" customFormat="1" ht="65.400000000000006" thickBot="1" x14ac:dyDescent="0.35">
      <c r="A2199" s="53"/>
      <c r="B2199" s="54"/>
      <c r="C2199" s="55" t="s">
        <v>2331</v>
      </c>
      <c r="D2199" s="56"/>
      <c r="E2199" s="5"/>
      <c r="F2199" s="6"/>
      <c r="G2199" s="57"/>
      <c r="H2199" s="58"/>
    </row>
    <row r="2200" spans="1:771 1026:1795 2050:2819 3074:3843 4098:4867 5122:5891 6146:6915 7170:7939 8194:8963 9218:9987 10242:11011 11266:12035 12290:13059 13314:14083 14338:15107 15362:16131" s="59" customFormat="1" ht="31.8" thickBot="1" x14ac:dyDescent="0.35">
      <c r="A2200" s="154"/>
      <c r="B2200" s="155" t="s">
        <v>26</v>
      </c>
      <c r="C2200" s="156"/>
      <c r="D2200" s="154"/>
      <c r="E2200" s="157"/>
      <c r="F2200" s="158"/>
      <c r="G2200" s="159">
        <f>SUM(G2191:G2199)/2</f>
        <v>311332560</v>
      </c>
      <c r="H2200" s="160"/>
      <c r="IX2200" s="35"/>
      <c r="IY2200" s="35"/>
      <c r="ST2200" s="35"/>
      <c r="SU2200" s="35"/>
      <c r="ACP2200" s="35"/>
      <c r="ACQ2200" s="35"/>
      <c r="AML2200" s="35"/>
      <c r="AMM2200" s="35"/>
      <c r="AWH2200" s="35"/>
      <c r="AWI2200" s="35"/>
      <c r="BGD2200" s="35"/>
      <c r="BGE2200" s="35"/>
      <c r="BPZ2200" s="35"/>
      <c r="BQA2200" s="35"/>
      <c r="BZV2200" s="35"/>
      <c r="BZW2200" s="35"/>
      <c r="CJR2200" s="35"/>
      <c r="CJS2200" s="35"/>
      <c r="CTN2200" s="35"/>
      <c r="CTO2200" s="35"/>
      <c r="DDJ2200" s="35"/>
      <c r="DDK2200" s="35"/>
      <c r="DNF2200" s="35"/>
      <c r="DNG2200" s="35"/>
      <c r="DXB2200" s="35"/>
      <c r="DXC2200" s="35"/>
      <c r="EGX2200" s="35"/>
      <c r="EGY2200" s="35"/>
      <c r="EQT2200" s="35"/>
      <c r="EQU2200" s="35"/>
      <c r="FAP2200" s="35"/>
      <c r="FAQ2200" s="35"/>
      <c r="FKL2200" s="35"/>
      <c r="FKM2200" s="35"/>
      <c r="FUH2200" s="35"/>
      <c r="FUI2200" s="35"/>
      <c r="GED2200" s="35"/>
      <c r="GEE2200" s="35"/>
      <c r="GNZ2200" s="35"/>
      <c r="GOA2200" s="35"/>
      <c r="GXV2200" s="35"/>
      <c r="GXW2200" s="35"/>
      <c r="HHR2200" s="35"/>
      <c r="HHS2200" s="35"/>
      <c r="HRN2200" s="35"/>
      <c r="HRO2200" s="35"/>
      <c r="IBJ2200" s="35"/>
      <c r="IBK2200" s="35"/>
      <c r="ILF2200" s="35"/>
      <c r="ILG2200" s="35"/>
      <c r="IVB2200" s="35"/>
      <c r="IVC2200" s="35"/>
      <c r="JEX2200" s="35"/>
      <c r="JEY2200" s="35"/>
      <c r="JOT2200" s="35"/>
      <c r="JOU2200" s="35"/>
      <c r="JYP2200" s="35"/>
      <c r="JYQ2200" s="35"/>
      <c r="KIL2200" s="35"/>
      <c r="KIM2200" s="35"/>
      <c r="KSH2200" s="35"/>
      <c r="KSI2200" s="35"/>
      <c r="LCD2200" s="35"/>
      <c r="LCE2200" s="35"/>
      <c r="LLZ2200" s="35"/>
      <c r="LMA2200" s="35"/>
      <c r="LVV2200" s="35"/>
      <c r="LVW2200" s="35"/>
      <c r="MFR2200" s="35"/>
      <c r="MFS2200" s="35"/>
      <c r="MPN2200" s="35"/>
      <c r="MPO2200" s="35"/>
      <c r="MZJ2200" s="35"/>
      <c r="MZK2200" s="35"/>
      <c r="NJF2200" s="35"/>
      <c r="NJG2200" s="35"/>
      <c r="NTB2200" s="35"/>
      <c r="NTC2200" s="35"/>
      <c r="OCX2200" s="35"/>
      <c r="OCY2200" s="35"/>
      <c r="OMT2200" s="35"/>
      <c r="OMU2200" s="35"/>
      <c r="OWP2200" s="35"/>
      <c r="OWQ2200" s="35"/>
      <c r="PGL2200" s="35"/>
      <c r="PGM2200" s="35"/>
      <c r="PQH2200" s="35"/>
      <c r="PQI2200" s="35"/>
      <c r="QAD2200" s="35"/>
      <c r="QAE2200" s="35"/>
      <c r="QJZ2200" s="35"/>
      <c r="QKA2200" s="35"/>
      <c r="QTV2200" s="35"/>
      <c r="QTW2200" s="35"/>
      <c r="RDR2200" s="35"/>
      <c r="RDS2200" s="35"/>
      <c r="RNN2200" s="35"/>
      <c r="RNO2200" s="35"/>
      <c r="RXJ2200" s="35"/>
      <c r="RXK2200" s="35"/>
      <c r="SHF2200" s="35"/>
      <c r="SHG2200" s="35"/>
      <c r="SRB2200" s="35"/>
      <c r="SRC2200" s="35"/>
      <c r="TAX2200" s="35"/>
      <c r="TAY2200" s="35"/>
      <c r="TKT2200" s="35"/>
      <c r="TKU2200" s="35"/>
      <c r="TUP2200" s="35"/>
      <c r="TUQ2200" s="35"/>
      <c r="UEL2200" s="35"/>
      <c r="UEM2200" s="35"/>
      <c r="UOH2200" s="35"/>
      <c r="UOI2200" s="35"/>
      <c r="UYD2200" s="35"/>
      <c r="UYE2200" s="35"/>
      <c r="VHZ2200" s="35"/>
      <c r="VIA2200" s="35"/>
      <c r="VRV2200" s="35"/>
      <c r="VRW2200" s="35"/>
      <c r="WBR2200" s="35"/>
      <c r="WBS2200" s="35"/>
      <c r="WLN2200" s="35"/>
      <c r="WLO2200" s="35"/>
      <c r="WVJ2200" s="35"/>
      <c r="WVK2200" s="35"/>
    </row>
    <row r="2201" spans="1:771 1026:1795 2050:2819 3074:3843 4098:4867 5122:5891 6146:6915 7170:7939 8194:8963 9218:9987 10242:11011 11266:12035 12290:13059 13314:14083 14338:15107 15362:16131" s="35" customFormat="1" ht="41.4" x14ac:dyDescent="0.3">
      <c r="A2201" s="28">
        <v>206</v>
      </c>
      <c r="B2201" s="29" t="s">
        <v>1682</v>
      </c>
      <c r="C2201" s="30" t="s">
        <v>1681</v>
      </c>
      <c r="D2201" s="31" t="s">
        <v>13</v>
      </c>
      <c r="E2201" s="32">
        <v>0.5</v>
      </c>
      <c r="F2201" s="33"/>
      <c r="G2201" s="33"/>
      <c r="H2201" s="34" t="s">
        <v>2298</v>
      </c>
    </row>
    <row r="2202" spans="1:771 1026:1795 2050:2819 3074:3843 4098:4867 5122:5891 6146:6915 7170:7939 8194:8963 9218:9987 10242:11011 11266:12035 12290:13059 13314:14083 14338:15107 15362:16131" s="35" customFormat="1" x14ac:dyDescent="0.3">
      <c r="A2202" s="36"/>
      <c r="B2202" s="72" t="s">
        <v>326</v>
      </c>
      <c r="C2202" s="38" t="s">
        <v>14</v>
      </c>
      <c r="D2202" s="39"/>
      <c r="E2202" s="44"/>
      <c r="F2202" s="40"/>
      <c r="G2202" s="41">
        <f>SUM(G2203)</f>
        <v>9739500</v>
      </c>
      <c r="H2202" s="42"/>
    </row>
    <row r="2203" spans="1:771 1026:1795 2050:2819 3074:3843 4098:4867 5122:5891 6146:6915 7170:7939 8194:8963 9218:9987 10242:11011 11266:12035 12290:13059 13314:14083 14338:15107 15362:16131" s="35" customFormat="1" ht="62.4" x14ac:dyDescent="0.3">
      <c r="A2203" s="36"/>
      <c r="B2203" s="72" t="s">
        <v>1680</v>
      </c>
      <c r="C2203" s="48" t="s">
        <v>38</v>
      </c>
      <c r="D2203" s="39" t="s">
        <v>13</v>
      </c>
      <c r="E2203" s="44">
        <v>0.5</v>
      </c>
      <c r="F2203" s="153">
        <v>19479000</v>
      </c>
      <c r="G2203" s="40">
        <f>E2203*F2203</f>
        <v>9739500</v>
      </c>
      <c r="H2203" s="42"/>
    </row>
    <row r="2204" spans="1:771 1026:1795 2050:2819 3074:3843 4098:4867 5122:5891 6146:6915 7170:7939 8194:8963 9218:9987 10242:11011 11266:12035 12290:13059 13314:14083 14338:15107 15362:16131" s="35" customFormat="1" ht="65.400000000000006" thickBot="1" x14ac:dyDescent="0.35">
      <c r="A2204" s="53"/>
      <c r="B2204" s="54"/>
      <c r="C2204" s="55" t="s">
        <v>2331</v>
      </c>
      <c r="D2204" s="56"/>
      <c r="E2204" s="5"/>
      <c r="F2204" s="6"/>
      <c r="G2204" s="57"/>
      <c r="H2204" s="58"/>
    </row>
    <row r="2205" spans="1:771 1026:1795 2050:2819 3074:3843 4098:4867 5122:5891 6146:6915 7170:7939 8194:8963 9218:9987 10242:11011 11266:12035 12290:13059 13314:14083 14338:15107 15362:16131" s="59" customFormat="1" ht="31.8" thickBot="1" x14ac:dyDescent="0.35">
      <c r="A2205" s="154"/>
      <c r="B2205" s="155" t="s">
        <v>26</v>
      </c>
      <c r="C2205" s="156"/>
      <c r="D2205" s="154"/>
      <c r="E2205" s="157"/>
      <c r="F2205" s="158"/>
      <c r="G2205" s="159">
        <f>SUM(G2201:G2204)/2</f>
        <v>9739500</v>
      </c>
      <c r="H2205" s="160"/>
      <c r="IX2205" s="35"/>
      <c r="IY2205" s="35"/>
      <c r="ST2205" s="35"/>
      <c r="SU2205" s="35"/>
      <c r="ACP2205" s="35"/>
      <c r="ACQ2205" s="35"/>
      <c r="AML2205" s="35"/>
      <c r="AMM2205" s="35"/>
      <c r="AWH2205" s="35"/>
      <c r="AWI2205" s="35"/>
      <c r="BGD2205" s="35"/>
      <c r="BGE2205" s="35"/>
      <c r="BPZ2205" s="35"/>
      <c r="BQA2205" s="35"/>
      <c r="BZV2205" s="35"/>
      <c r="BZW2205" s="35"/>
      <c r="CJR2205" s="35"/>
      <c r="CJS2205" s="35"/>
      <c r="CTN2205" s="35"/>
      <c r="CTO2205" s="35"/>
      <c r="DDJ2205" s="35"/>
      <c r="DDK2205" s="35"/>
      <c r="DNF2205" s="35"/>
      <c r="DNG2205" s="35"/>
      <c r="DXB2205" s="35"/>
      <c r="DXC2205" s="35"/>
      <c r="EGX2205" s="35"/>
      <c r="EGY2205" s="35"/>
      <c r="EQT2205" s="35"/>
      <c r="EQU2205" s="35"/>
      <c r="FAP2205" s="35"/>
      <c r="FAQ2205" s="35"/>
      <c r="FKL2205" s="35"/>
      <c r="FKM2205" s="35"/>
      <c r="FUH2205" s="35"/>
      <c r="FUI2205" s="35"/>
      <c r="GED2205" s="35"/>
      <c r="GEE2205" s="35"/>
      <c r="GNZ2205" s="35"/>
      <c r="GOA2205" s="35"/>
      <c r="GXV2205" s="35"/>
      <c r="GXW2205" s="35"/>
      <c r="HHR2205" s="35"/>
      <c r="HHS2205" s="35"/>
      <c r="HRN2205" s="35"/>
      <c r="HRO2205" s="35"/>
      <c r="IBJ2205" s="35"/>
      <c r="IBK2205" s="35"/>
      <c r="ILF2205" s="35"/>
      <c r="ILG2205" s="35"/>
      <c r="IVB2205" s="35"/>
      <c r="IVC2205" s="35"/>
      <c r="JEX2205" s="35"/>
      <c r="JEY2205" s="35"/>
      <c r="JOT2205" s="35"/>
      <c r="JOU2205" s="35"/>
      <c r="JYP2205" s="35"/>
      <c r="JYQ2205" s="35"/>
      <c r="KIL2205" s="35"/>
      <c r="KIM2205" s="35"/>
      <c r="KSH2205" s="35"/>
      <c r="KSI2205" s="35"/>
      <c r="LCD2205" s="35"/>
      <c r="LCE2205" s="35"/>
      <c r="LLZ2205" s="35"/>
      <c r="LMA2205" s="35"/>
      <c r="LVV2205" s="35"/>
      <c r="LVW2205" s="35"/>
      <c r="MFR2205" s="35"/>
      <c r="MFS2205" s="35"/>
      <c r="MPN2205" s="35"/>
      <c r="MPO2205" s="35"/>
      <c r="MZJ2205" s="35"/>
      <c r="MZK2205" s="35"/>
      <c r="NJF2205" s="35"/>
      <c r="NJG2205" s="35"/>
      <c r="NTB2205" s="35"/>
      <c r="NTC2205" s="35"/>
      <c r="OCX2205" s="35"/>
      <c r="OCY2205" s="35"/>
      <c r="OMT2205" s="35"/>
      <c r="OMU2205" s="35"/>
      <c r="OWP2205" s="35"/>
      <c r="OWQ2205" s="35"/>
      <c r="PGL2205" s="35"/>
      <c r="PGM2205" s="35"/>
      <c r="PQH2205" s="35"/>
      <c r="PQI2205" s="35"/>
      <c r="QAD2205" s="35"/>
      <c r="QAE2205" s="35"/>
      <c r="QJZ2205" s="35"/>
      <c r="QKA2205" s="35"/>
      <c r="QTV2205" s="35"/>
      <c r="QTW2205" s="35"/>
      <c r="RDR2205" s="35"/>
      <c r="RDS2205" s="35"/>
      <c r="RNN2205" s="35"/>
      <c r="RNO2205" s="35"/>
      <c r="RXJ2205" s="35"/>
      <c r="RXK2205" s="35"/>
      <c r="SHF2205" s="35"/>
      <c r="SHG2205" s="35"/>
      <c r="SRB2205" s="35"/>
      <c r="SRC2205" s="35"/>
      <c r="TAX2205" s="35"/>
      <c r="TAY2205" s="35"/>
      <c r="TKT2205" s="35"/>
      <c r="TKU2205" s="35"/>
      <c r="TUP2205" s="35"/>
      <c r="TUQ2205" s="35"/>
      <c r="UEL2205" s="35"/>
      <c r="UEM2205" s="35"/>
      <c r="UOH2205" s="35"/>
      <c r="UOI2205" s="35"/>
      <c r="UYD2205" s="35"/>
      <c r="UYE2205" s="35"/>
      <c r="VHZ2205" s="35"/>
      <c r="VIA2205" s="35"/>
      <c r="VRV2205" s="35"/>
      <c r="VRW2205" s="35"/>
      <c r="WBR2205" s="35"/>
      <c r="WBS2205" s="35"/>
      <c r="WLN2205" s="35"/>
      <c r="WLO2205" s="35"/>
      <c r="WVJ2205" s="35"/>
      <c r="WVK2205" s="35"/>
    </row>
    <row r="2206" spans="1:771 1026:1795 2050:2819 3074:3843 4098:4867 5122:5891 6146:6915 7170:7939 8194:8963 9218:9987 10242:11011 11266:12035 12290:13059 13314:14083 14338:15107 15362:16131" s="35" customFormat="1" ht="55.2" x14ac:dyDescent="0.3">
      <c r="A2206" s="28">
        <v>207</v>
      </c>
      <c r="B2206" s="29" t="s">
        <v>1683</v>
      </c>
      <c r="C2206" s="30" t="s">
        <v>1687</v>
      </c>
      <c r="D2206" s="31" t="s">
        <v>13</v>
      </c>
      <c r="E2206" s="32">
        <v>11.4</v>
      </c>
      <c r="F2206" s="33"/>
      <c r="G2206" s="33"/>
      <c r="H2206" s="34" t="s">
        <v>1688</v>
      </c>
    </row>
    <row r="2207" spans="1:771 1026:1795 2050:2819 3074:3843 4098:4867 5122:5891 6146:6915 7170:7939 8194:8963 9218:9987 10242:11011 11266:12035 12290:13059 13314:14083 14338:15107 15362:16131" s="35" customFormat="1" x14ac:dyDescent="0.3">
      <c r="A2207" s="36"/>
      <c r="B2207" s="72" t="s">
        <v>1684</v>
      </c>
      <c r="C2207" s="38" t="s">
        <v>14</v>
      </c>
      <c r="D2207" s="39"/>
      <c r="E2207" s="44"/>
      <c r="F2207" s="40"/>
      <c r="G2207" s="41">
        <f>SUM(G2208)</f>
        <v>222060600</v>
      </c>
      <c r="H2207" s="42"/>
    </row>
    <row r="2208" spans="1:771 1026:1795 2050:2819 3074:3843 4098:4867 5122:5891 6146:6915 7170:7939 8194:8963 9218:9987 10242:11011 11266:12035 12290:13059 13314:14083 14338:15107 15362:16131" s="35" customFormat="1" ht="78" x14ac:dyDescent="0.3">
      <c r="A2208" s="36"/>
      <c r="B2208" s="72" t="s">
        <v>1685</v>
      </c>
      <c r="C2208" s="48" t="s">
        <v>38</v>
      </c>
      <c r="D2208" s="39" t="s">
        <v>13</v>
      </c>
      <c r="E2208" s="44">
        <v>11.4</v>
      </c>
      <c r="F2208" s="161">
        <v>19479000</v>
      </c>
      <c r="G2208" s="40">
        <f>E2208*F2208</f>
        <v>222060600</v>
      </c>
      <c r="H2208" s="42"/>
    </row>
    <row r="2209" spans="1:771 1026:1795 2050:2819 3074:3843 4098:4867 5122:5891 6146:6915 7170:7939 8194:8963 9218:9987 10242:11011 11266:12035 12290:13059 13314:14083 14338:15107 15362:16131" s="35" customFormat="1" x14ac:dyDescent="0.3">
      <c r="A2209" s="36"/>
      <c r="B2209" s="72" t="s">
        <v>1686</v>
      </c>
      <c r="C2209" s="47" t="s">
        <v>35</v>
      </c>
      <c r="D2209" s="39"/>
      <c r="E2209" s="73"/>
      <c r="F2209" s="40"/>
      <c r="G2209" s="41">
        <f>SUM(G2210:G2214)</f>
        <v>46223820.000000007</v>
      </c>
      <c r="H2209" s="45"/>
    </row>
    <row r="2210" spans="1:771 1026:1795 2050:2819 3074:3843 4098:4867 5122:5891 6146:6915 7170:7939 8194:8963 9218:9987 10242:11011 11266:12035 12290:13059 13314:14083 14338:15107 15362:16131" s="35" customFormat="1" ht="78" x14ac:dyDescent="0.3">
      <c r="A2210" s="36"/>
      <c r="B2210" s="38"/>
      <c r="C2210" s="66" t="s">
        <v>1689</v>
      </c>
      <c r="D2210" s="39" t="s">
        <v>13</v>
      </c>
      <c r="E2210" s="73">
        <f>(1.05*4.7)</f>
        <v>4.9350000000000005</v>
      </c>
      <c r="F2210" s="74">
        <v>4594000</v>
      </c>
      <c r="G2210" s="40">
        <f>E2210*F2210</f>
        <v>22671390.000000004</v>
      </c>
      <c r="H2210" s="45" t="s">
        <v>2559</v>
      </c>
    </row>
    <row r="2211" spans="1:771 1026:1795 2050:2819 3074:3843 4098:4867 5122:5891 6146:6915 7170:7939 8194:8963 9218:9987 10242:11011 11266:12035 12290:13059 13314:14083 14338:15107 15362:16131" s="35" customFormat="1" ht="78" x14ac:dyDescent="0.3">
      <c r="A2211" s="36"/>
      <c r="B2211" s="38"/>
      <c r="C2211" s="66" t="s">
        <v>1690</v>
      </c>
      <c r="D2211" s="39" t="s">
        <v>13</v>
      </c>
      <c r="E2211" s="44">
        <f>(1.5*4.7)-((0.55*2.4)/2)</f>
        <v>6.3900000000000006</v>
      </c>
      <c r="F2211" s="74">
        <v>3592000</v>
      </c>
      <c r="G2211" s="40">
        <f>E2211*F2211</f>
        <v>22952880.000000004</v>
      </c>
      <c r="H2211" s="45" t="s">
        <v>2375</v>
      </c>
    </row>
    <row r="2212" spans="1:771 1026:1795 2050:2819 3074:3843 4098:4867 5122:5891 6146:6915 7170:7939 8194:8963 9218:9987 10242:11011 11266:12035 12290:13059 13314:14083 14338:15107 15362:16131" s="35" customFormat="1" ht="46.8" x14ac:dyDescent="0.3">
      <c r="A2212" s="36"/>
      <c r="B2212" s="38"/>
      <c r="C2212" s="66" t="s">
        <v>1691</v>
      </c>
      <c r="D2212" s="39" t="s">
        <v>13</v>
      </c>
      <c r="E2212" s="73">
        <f>2.3*0.5*0.5</f>
        <v>0.57499999999999996</v>
      </c>
      <c r="F2212" s="74">
        <v>540000</v>
      </c>
      <c r="G2212" s="40">
        <f>E2212*F2212</f>
        <v>310500</v>
      </c>
      <c r="H2212" s="45" t="s">
        <v>2375</v>
      </c>
    </row>
    <row r="2213" spans="1:771 1026:1795 2050:2819 3074:3843 4098:4867 5122:5891 6146:6915 7170:7939 8194:8963 9218:9987 10242:11011 11266:12035 12290:13059 13314:14083 14338:15107 15362:16131" s="35" customFormat="1" ht="18.600000000000001" x14ac:dyDescent="0.3">
      <c r="A2213" s="36"/>
      <c r="B2213" s="38"/>
      <c r="C2213" s="66" t="s">
        <v>18</v>
      </c>
      <c r="D2213" s="39" t="s">
        <v>13</v>
      </c>
      <c r="E2213" s="73">
        <f>4.7*1.5</f>
        <v>7.0500000000000007</v>
      </c>
      <c r="F2213" s="40">
        <v>41000</v>
      </c>
      <c r="G2213" s="40">
        <f>E2213*F2213</f>
        <v>289050.00000000006</v>
      </c>
      <c r="H2213" s="45"/>
    </row>
    <row r="2214" spans="1:771 1026:1795 2050:2819 3074:3843 4098:4867 5122:5891 6146:6915 7170:7939 8194:8963 9218:9987 10242:11011 11266:12035 12290:13059 13314:14083 14338:15107 15362:16131" s="35" customFormat="1" ht="65.400000000000006" thickBot="1" x14ac:dyDescent="0.35">
      <c r="A2214" s="53"/>
      <c r="B2214" s="54"/>
      <c r="C2214" s="55" t="s">
        <v>2331</v>
      </c>
      <c r="D2214" s="56"/>
      <c r="E2214" s="5"/>
      <c r="F2214" s="6"/>
      <c r="G2214" s="57"/>
      <c r="H2214" s="58"/>
    </row>
    <row r="2215" spans="1:771 1026:1795 2050:2819 3074:3843 4098:4867 5122:5891 6146:6915 7170:7939 8194:8963 9218:9987 10242:11011 11266:12035 12290:13059 13314:14083 14338:15107 15362:16131" s="59" customFormat="1" ht="31.8" thickBot="1" x14ac:dyDescent="0.35">
      <c r="A2215" s="154"/>
      <c r="B2215" s="155" t="s">
        <v>26</v>
      </c>
      <c r="C2215" s="156"/>
      <c r="D2215" s="154"/>
      <c r="E2215" s="157"/>
      <c r="F2215" s="158"/>
      <c r="G2215" s="159">
        <f>SUM(G2206:G2214)/2</f>
        <v>268284420</v>
      </c>
      <c r="H2215" s="160"/>
      <c r="IX2215" s="35"/>
      <c r="IY2215" s="35"/>
      <c r="ST2215" s="35"/>
      <c r="SU2215" s="35"/>
      <c r="ACP2215" s="35"/>
      <c r="ACQ2215" s="35"/>
      <c r="AML2215" s="35"/>
      <c r="AMM2215" s="35"/>
      <c r="AWH2215" s="35"/>
      <c r="AWI2215" s="35"/>
      <c r="BGD2215" s="35"/>
      <c r="BGE2215" s="35"/>
      <c r="BPZ2215" s="35"/>
      <c r="BQA2215" s="35"/>
      <c r="BZV2215" s="35"/>
      <c r="BZW2215" s="35"/>
      <c r="CJR2215" s="35"/>
      <c r="CJS2215" s="35"/>
      <c r="CTN2215" s="35"/>
      <c r="CTO2215" s="35"/>
      <c r="DDJ2215" s="35"/>
      <c r="DDK2215" s="35"/>
      <c r="DNF2215" s="35"/>
      <c r="DNG2215" s="35"/>
      <c r="DXB2215" s="35"/>
      <c r="DXC2215" s="35"/>
      <c r="EGX2215" s="35"/>
      <c r="EGY2215" s="35"/>
      <c r="EQT2215" s="35"/>
      <c r="EQU2215" s="35"/>
      <c r="FAP2215" s="35"/>
      <c r="FAQ2215" s="35"/>
      <c r="FKL2215" s="35"/>
      <c r="FKM2215" s="35"/>
      <c r="FUH2215" s="35"/>
      <c r="FUI2215" s="35"/>
      <c r="GED2215" s="35"/>
      <c r="GEE2215" s="35"/>
      <c r="GNZ2215" s="35"/>
      <c r="GOA2215" s="35"/>
      <c r="GXV2215" s="35"/>
      <c r="GXW2215" s="35"/>
      <c r="HHR2215" s="35"/>
      <c r="HHS2215" s="35"/>
      <c r="HRN2215" s="35"/>
      <c r="HRO2215" s="35"/>
      <c r="IBJ2215" s="35"/>
      <c r="IBK2215" s="35"/>
      <c r="ILF2215" s="35"/>
      <c r="ILG2215" s="35"/>
      <c r="IVB2215" s="35"/>
      <c r="IVC2215" s="35"/>
      <c r="JEX2215" s="35"/>
      <c r="JEY2215" s="35"/>
      <c r="JOT2215" s="35"/>
      <c r="JOU2215" s="35"/>
      <c r="JYP2215" s="35"/>
      <c r="JYQ2215" s="35"/>
      <c r="KIL2215" s="35"/>
      <c r="KIM2215" s="35"/>
      <c r="KSH2215" s="35"/>
      <c r="KSI2215" s="35"/>
      <c r="LCD2215" s="35"/>
      <c r="LCE2215" s="35"/>
      <c r="LLZ2215" s="35"/>
      <c r="LMA2215" s="35"/>
      <c r="LVV2215" s="35"/>
      <c r="LVW2215" s="35"/>
      <c r="MFR2215" s="35"/>
      <c r="MFS2215" s="35"/>
      <c r="MPN2215" s="35"/>
      <c r="MPO2215" s="35"/>
      <c r="MZJ2215" s="35"/>
      <c r="MZK2215" s="35"/>
      <c r="NJF2215" s="35"/>
      <c r="NJG2215" s="35"/>
      <c r="NTB2215" s="35"/>
      <c r="NTC2215" s="35"/>
      <c r="OCX2215" s="35"/>
      <c r="OCY2215" s="35"/>
      <c r="OMT2215" s="35"/>
      <c r="OMU2215" s="35"/>
      <c r="OWP2215" s="35"/>
      <c r="OWQ2215" s="35"/>
      <c r="PGL2215" s="35"/>
      <c r="PGM2215" s="35"/>
      <c r="PQH2215" s="35"/>
      <c r="PQI2215" s="35"/>
      <c r="QAD2215" s="35"/>
      <c r="QAE2215" s="35"/>
      <c r="QJZ2215" s="35"/>
      <c r="QKA2215" s="35"/>
      <c r="QTV2215" s="35"/>
      <c r="QTW2215" s="35"/>
      <c r="RDR2215" s="35"/>
      <c r="RDS2215" s="35"/>
      <c r="RNN2215" s="35"/>
      <c r="RNO2215" s="35"/>
      <c r="RXJ2215" s="35"/>
      <c r="RXK2215" s="35"/>
      <c r="SHF2215" s="35"/>
      <c r="SHG2215" s="35"/>
      <c r="SRB2215" s="35"/>
      <c r="SRC2215" s="35"/>
      <c r="TAX2215" s="35"/>
      <c r="TAY2215" s="35"/>
      <c r="TKT2215" s="35"/>
      <c r="TKU2215" s="35"/>
      <c r="TUP2215" s="35"/>
      <c r="TUQ2215" s="35"/>
      <c r="UEL2215" s="35"/>
      <c r="UEM2215" s="35"/>
      <c r="UOH2215" s="35"/>
      <c r="UOI2215" s="35"/>
      <c r="UYD2215" s="35"/>
      <c r="UYE2215" s="35"/>
      <c r="VHZ2215" s="35"/>
      <c r="VIA2215" s="35"/>
      <c r="VRV2215" s="35"/>
      <c r="VRW2215" s="35"/>
      <c r="WBR2215" s="35"/>
      <c r="WBS2215" s="35"/>
      <c r="WLN2215" s="35"/>
      <c r="WLO2215" s="35"/>
      <c r="WVJ2215" s="35"/>
      <c r="WVK2215" s="35"/>
    </row>
    <row r="2216" spans="1:771 1026:1795 2050:2819 3074:3843 4098:4867 5122:5891 6146:6915 7170:7939 8194:8963 9218:9987 10242:11011 11266:12035 12290:13059 13314:14083 14338:15107 15362:16131" s="35" customFormat="1" ht="55.2" x14ac:dyDescent="0.3">
      <c r="A2216" s="28">
        <v>208</v>
      </c>
      <c r="B2216" s="29" t="s">
        <v>1694</v>
      </c>
      <c r="C2216" s="30" t="s">
        <v>1697</v>
      </c>
      <c r="D2216" s="31" t="s">
        <v>13</v>
      </c>
      <c r="E2216" s="32">
        <v>19.600000000000001</v>
      </c>
      <c r="F2216" s="33"/>
      <c r="G2216" s="33"/>
      <c r="H2216" s="34" t="s">
        <v>1698</v>
      </c>
    </row>
    <row r="2217" spans="1:771 1026:1795 2050:2819 3074:3843 4098:4867 5122:5891 6146:6915 7170:7939 8194:8963 9218:9987 10242:11011 11266:12035 12290:13059 13314:14083 14338:15107 15362:16131" s="35" customFormat="1" x14ac:dyDescent="0.3">
      <c r="A2217" s="36"/>
      <c r="B2217" s="72" t="s">
        <v>1695</v>
      </c>
      <c r="C2217" s="38" t="s">
        <v>14</v>
      </c>
      <c r="D2217" s="39"/>
      <c r="E2217" s="44"/>
      <c r="F2217" s="40"/>
      <c r="G2217" s="41">
        <f>SUM(G2218)</f>
        <v>203918400</v>
      </c>
      <c r="H2217" s="42"/>
    </row>
    <row r="2218" spans="1:771 1026:1795 2050:2819 3074:3843 4098:4867 5122:5891 6146:6915 7170:7939 8194:8963 9218:9987 10242:11011 11266:12035 12290:13059 13314:14083 14338:15107 15362:16131" s="35" customFormat="1" ht="78" x14ac:dyDescent="0.3">
      <c r="A2218" s="36"/>
      <c r="B2218" s="72" t="s">
        <v>1696</v>
      </c>
      <c r="C2218" s="43" t="s">
        <v>55</v>
      </c>
      <c r="D2218" s="39" t="s">
        <v>13</v>
      </c>
      <c r="E2218" s="44">
        <v>19.600000000000001</v>
      </c>
      <c r="F2218" s="153">
        <v>10404000</v>
      </c>
      <c r="G2218" s="40">
        <f>E2218*F2218</f>
        <v>203918400</v>
      </c>
      <c r="H2218" s="42"/>
    </row>
    <row r="2219" spans="1:771 1026:1795 2050:2819 3074:3843 4098:4867 5122:5891 6146:6915 7170:7939 8194:8963 9218:9987 10242:11011 11266:12035 12290:13059 13314:14083 14338:15107 15362:16131" s="35" customFormat="1" x14ac:dyDescent="0.3">
      <c r="A2219" s="36"/>
      <c r="B2219" s="38"/>
      <c r="C2219" s="47" t="s">
        <v>35</v>
      </c>
      <c r="D2219" s="39"/>
      <c r="E2219" s="73"/>
      <c r="F2219" s="40"/>
      <c r="G2219" s="41">
        <f>SUM(G2220)</f>
        <v>0</v>
      </c>
      <c r="H2219" s="45"/>
    </row>
    <row r="2220" spans="1:771 1026:1795 2050:2819 3074:3843 4098:4867 5122:5891 6146:6915 7170:7939 8194:8963 9218:9987 10242:11011 11266:12035 12290:13059 13314:14083 14338:15107 15362:16131" s="35" customFormat="1" ht="46.8" x14ac:dyDescent="0.3">
      <c r="A2220" s="36"/>
      <c r="B2220" s="38"/>
      <c r="C2220" s="66" t="s">
        <v>1699</v>
      </c>
      <c r="D2220" s="39" t="s">
        <v>13</v>
      </c>
      <c r="E2220" s="73">
        <v>20.399999999999999</v>
      </c>
      <c r="F2220" s="74"/>
      <c r="G2220" s="40">
        <f>E2220*F2220</f>
        <v>0</v>
      </c>
      <c r="H2220" s="45" t="s">
        <v>2560</v>
      </c>
    </row>
    <row r="2221" spans="1:771 1026:1795 2050:2819 3074:3843 4098:4867 5122:5891 6146:6915 7170:7939 8194:8963 9218:9987 10242:11011 11266:12035 12290:13059 13314:14083 14338:15107 15362:16131" s="35" customFormat="1" x14ac:dyDescent="0.3">
      <c r="A2221" s="36"/>
      <c r="B2221" s="46"/>
      <c r="C2221" s="51" t="s">
        <v>23</v>
      </c>
      <c r="D2221" s="39"/>
      <c r="E2221" s="1"/>
      <c r="F2221" s="2"/>
      <c r="G2221" s="41">
        <f>SUM(G2222)</f>
        <v>3060000</v>
      </c>
      <c r="H2221" s="52"/>
    </row>
    <row r="2222" spans="1:771 1026:1795 2050:2819 3074:3843 4098:4867 5122:5891 6146:6915 7170:7939 8194:8963 9218:9987 10242:11011 11266:12035 12290:13059 13314:14083 14338:15107 15362:16131" s="35" customFormat="1" x14ac:dyDescent="0.3">
      <c r="A2222" s="36"/>
      <c r="B2222" s="46"/>
      <c r="C2222" s="50" t="s">
        <v>24</v>
      </c>
      <c r="D2222" s="39" t="s">
        <v>25</v>
      </c>
      <c r="E2222" s="1">
        <f>1*30*6</f>
        <v>180</v>
      </c>
      <c r="F2222" s="2">
        <v>17000</v>
      </c>
      <c r="G2222" s="40">
        <f>E2222*F2222</f>
        <v>3060000</v>
      </c>
      <c r="H2222" s="42"/>
    </row>
    <row r="2223" spans="1:771 1026:1795 2050:2819 3074:3843 4098:4867 5122:5891 6146:6915 7170:7939 8194:8963 9218:9987 10242:11011 11266:12035 12290:13059 13314:14083 14338:15107 15362:16131" s="35" customFormat="1" ht="65.400000000000006" thickBot="1" x14ac:dyDescent="0.35">
      <c r="A2223" s="53"/>
      <c r="B2223" s="54"/>
      <c r="C2223" s="55" t="s">
        <v>2331</v>
      </c>
      <c r="D2223" s="56"/>
      <c r="E2223" s="5"/>
      <c r="F2223" s="6"/>
      <c r="G2223" s="57"/>
      <c r="H2223" s="58"/>
    </row>
    <row r="2224" spans="1:771 1026:1795 2050:2819 3074:3843 4098:4867 5122:5891 6146:6915 7170:7939 8194:8963 9218:9987 10242:11011 11266:12035 12290:13059 13314:14083 14338:15107 15362:16131" s="59" customFormat="1" ht="31.8" thickBot="1" x14ac:dyDescent="0.35">
      <c r="A2224" s="154"/>
      <c r="B2224" s="155" t="s">
        <v>26</v>
      </c>
      <c r="C2224" s="156"/>
      <c r="D2224" s="154"/>
      <c r="E2224" s="157"/>
      <c r="F2224" s="158"/>
      <c r="G2224" s="159">
        <f>SUM(G2216:G2223)/2</f>
        <v>206978400</v>
      </c>
      <c r="H2224" s="160"/>
      <c r="IX2224" s="35"/>
      <c r="IY2224" s="35"/>
      <c r="ST2224" s="35"/>
      <c r="SU2224" s="35"/>
      <c r="ACP2224" s="35"/>
      <c r="ACQ2224" s="35"/>
      <c r="AML2224" s="35"/>
      <c r="AMM2224" s="35"/>
      <c r="AWH2224" s="35"/>
      <c r="AWI2224" s="35"/>
      <c r="BGD2224" s="35"/>
      <c r="BGE2224" s="35"/>
      <c r="BPZ2224" s="35"/>
      <c r="BQA2224" s="35"/>
      <c r="BZV2224" s="35"/>
      <c r="BZW2224" s="35"/>
      <c r="CJR2224" s="35"/>
      <c r="CJS2224" s="35"/>
      <c r="CTN2224" s="35"/>
      <c r="CTO2224" s="35"/>
      <c r="DDJ2224" s="35"/>
      <c r="DDK2224" s="35"/>
      <c r="DNF2224" s="35"/>
      <c r="DNG2224" s="35"/>
      <c r="DXB2224" s="35"/>
      <c r="DXC2224" s="35"/>
      <c r="EGX2224" s="35"/>
      <c r="EGY2224" s="35"/>
      <c r="EQT2224" s="35"/>
      <c r="EQU2224" s="35"/>
      <c r="FAP2224" s="35"/>
      <c r="FAQ2224" s="35"/>
      <c r="FKL2224" s="35"/>
      <c r="FKM2224" s="35"/>
      <c r="FUH2224" s="35"/>
      <c r="FUI2224" s="35"/>
      <c r="GED2224" s="35"/>
      <c r="GEE2224" s="35"/>
      <c r="GNZ2224" s="35"/>
      <c r="GOA2224" s="35"/>
      <c r="GXV2224" s="35"/>
      <c r="GXW2224" s="35"/>
      <c r="HHR2224" s="35"/>
      <c r="HHS2224" s="35"/>
      <c r="HRN2224" s="35"/>
      <c r="HRO2224" s="35"/>
      <c r="IBJ2224" s="35"/>
      <c r="IBK2224" s="35"/>
      <c r="ILF2224" s="35"/>
      <c r="ILG2224" s="35"/>
      <c r="IVB2224" s="35"/>
      <c r="IVC2224" s="35"/>
      <c r="JEX2224" s="35"/>
      <c r="JEY2224" s="35"/>
      <c r="JOT2224" s="35"/>
      <c r="JOU2224" s="35"/>
      <c r="JYP2224" s="35"/>
      <c r="JYQ2224" s="35"/>
      <c r="KIL2224" s="35"/>
      <c r="KIM2224" s="35"/>
      <c r="KSH2224" s="35"/>
      <c r="KSI2224" s="35"/>
      <c r="LCD2224" s="35"/>
      <c r="LCE2224" s="35"/>
      <c r="LLZ2224" s="35"/>
      <c r="LMA2224" s="35"/>
      <c r="LVV2224" s="35"/>
      <c r="LVW2224" s="35"/>
      <c r="MFR2224" s="35"/>
      <c r="MFS2224" s="35"/>
      <c r="MPN2224" s="35"/>
      <c r="MPO2224" s="35"/>
      <c r="MZJ2224" s="35"/>
      <c r="MZK2224" s="35"/>
      <c r="NJF2224" s="35"/>
      <c r="NJG2224" s="35"/>
      <c r="NTB2224" s="35"/>
      <c r="NTC2224" s="35"/>
      <c r="OCX2224" s="35"/>
      <c r="OCY2224" s="35"/>
      <c r="OMT2224" s="35"/>
      <c r="OMU2224" s="35"/>
      <c r="OWP2224" s="35"/>
      <c r="OWQ2224" s="35"/>
      <c r="PGL2224" s="35"/>
      <c r="PGM2224" s="35"/>
      <c r="PQH2224" s="35"/>
      <c r="PQI2224" s="35"/>
      <c r="QAD2224" s="35"/>
      <c r="QAE2224" s="35"/>
      <c r="QJZ2224" s="35"/>
      <c r="QKA2224" s="35"/>
      <c r="QTV2224" s="35"/>
      <c r="QTW2224" s="35"/>
      <c r="RDR2224" s="35"/>
      <c r="RDS2224" s="35"/>
      <c r="RNN2224" s="35"/>
      <c r="RNO2224" s="35"/>
      <c r="RXJ2224" s="35"/>
      <c r="RXK2224" s="35"/>
      <c r="SHF2224" s="35"/>
      <c r="SHG2224" s="35"/>
      <c r="SRB2224" s="35"/>
      <c r="SRC2224" s="35"/>
      <c r="TAX2224" s="35"/>
      <c r="TAY2224" s="35"/>
      <c r="TKT2224" s="35"/>
      <c r="TKU2224" s="35"/>
      <c r="TUP2224" s="35"/>
      <c r="TUQ2224" s="35"/>
      <c r="UEL2224" s="35"/>
      <c r="UEM2224" s="35"/>
      <c r="UOH2224" s="35"/>
      <c r="UOI2224" s="35"/>
      <c r="UYD2224" s="35"/>
      <c r="UYE2224" s="35"/>
      <c r="VHZ2224" s="35"/>
      <c r="VIA2224" s="35"/>
      <c r="VRV2224" s="35"/>
      <c r="VRW2224" s="35"/>
      <c r="WBR2224" s="35"/>
      <c r="WBS2224" s="35"/>
      <c r="WLN2224" s="35"/>
      <c r="WLO2224" s="35"/>
      <c r="WVJ2224" s="35"/>
      <c r="WVK2224" s="35"/>
    </row>
    <row r="2225" spans="1:771 1026:1795 2050:2819 3074:3843 4098:4867 5122:5891 6146:6915 7170:7939 8194:8963 9218:9987 10242:11011 11266:12035 12290:13059 13314:14083 14338:15107 15362:16131" s="35" customFormat="1" ht="41.4" x14ac:dyDescent="0.3">
      <c r="A2225" s="28">
        <v>209</v>
      </c>
      <c r="B2225" s="29" t="s">
        <v>1700</v>
      </c>
      <c r="C2225" s="30" t="s">
        <v>1703</v>
      </c>
      <c r="D2225" s="31" t="s">
        <v>13</v>
      </c>
      <c r="E2225" s="32">
        <v>15.2</v>
      </c>
      <c r="F2225" s="33"/>
      <c r="G2225" s="33"/>
      <c r="H2225" s="34" t="s">
        <v>1704</v>
      </c>
    </row>
    <row r="2226" spans="1:771 1026:1795 2050:2819 3074:3843 4098:4867 5122:5891 6146:6915 7170:7939 8194:8963 9218:9987 10242:11011 11266:12035 12290:13059 13314:14083 14338:15107 15362:16131" s="35" customFormat="1" x14ac:dyDescent="0.3">
      <c r="A2226" s="36"/>
      <c r="B2226" s="72" t="s">
        <v>1701</v>
      </c>
      <c r="C2226" s="38" t="s">
        <v>14</v>
      </c>
      <c r="D2226" s="39"/>
      <c r="E2226" s="44"/>
      <c r="F2226" s="40"/>
      <c r="G2226" s="41">
        <f>SUM(G2227)</f>
        <v>158140800</v>
      </c>
      <c r="H2226" s="42"/>
    </row>
    <row r="2227" spans="1:771 1026:1795 2050:2819 3074:3843 4098:4867 5122:5891 6146:6915 7170:7939 8194:8963 9218:9987 10242:11011 11266:12035 12290:13059 13314:14083 14338:15107 15362:16131" s="35" customFormat="1" ht="78" x14ac:dyDescent="0.3">
      <c r="A2227" s="36"/>
      <c r="B2227" s="72" t="s">
        <v>1696</v>
      </c>
      <c r="C2227" s="43" t="s">
        <v>55</v>
      </c>
      <c r="D2227" s="39" t="s">
        <v>13</v>
      </c>
      <c r="E2227" s="44">
        <v>15.2</v>
      </c>
      <c r="F2227" s="153">
        <v>10404000</v>
      </c>
      <c r="G2227" s="40">
        <f>E2227*F2227</f>
        <v>158140800</v>
      </c>
      <c r="H2227" s="42"/>
    </row>
    <row r="2228" spans="1:771 1026:1795 2050:2819 3074:3843 4098:4867 5122:5891 6146:6915 7170:7939 8194:8963 9218:9987 10242:11011 11266:12035 12290:13059 13314:14083 14338:15107 15362:16131" s="35" customFormat="1" x14ac:dyDescent="0.3">
      <c r="A2228" s="36"/>
      <c r="B2228" s="72" t="s">
        <v>1702</v>
      </c>
      <c r="C2228" s="47" t="s">
        <v>35</v>
      </c>
      <c r="D2228" s="39"/>
      <c r="E2228" s="73"/>
      <c r="F2228" s="40"/>
      <c r="G2228" s="41">
        <f>SUM(G2229)</f>
        <v>0</v>
      </c>
      <c r="H2228" s="45"/>
    </row>
    <row r="2229" spans="1:771 1026:1795 2050:2819 3074:3843 4098:4867 5122:5891 6146:6915 7170:7939 8194:8963 9218:9987 10242:11011 11266:12035 12290:13059 13314:14083 14338:15107 15362:16131" s="35" customFormat="1" ht="46.8" x14ac:dyDescent="0.3">
      <c r="A2229" s="36"/>
      <c r="B2229" s="38"/>
      <c r="C2229" s="66" t="s">
        <v>1705</v>
      </c>
      <c r="D2229" s="39" t="s">
        <v>13</v>
      </c>
      <c r="E2229" s="73">
        <v>10</v>
      </c>
      <c r="F2229" s="74"/>
      <c r="G2229" s="40">
        <f>E2229*F2229</f>
        <v>0</v>
      </c>
      <c r="H2229" s="45" t="s">
        <v>2561</v>
      </c>
    </row>
    <row r="2230" spans="1:771 1026:1795 2050:2819 3074:3843 4098:4867 5122:5891 6146:6915 7170:7939 8194:8963 9218:9987 10242:11011 11266:12035 12290:13059 13314:14083 14338:15107 15362:16131" s="35" customFormat="1" x14ac:dyDescent="0.3">
      <c r="A2230" s="36"/>
      <c r="B2230" s="46"/>
      <c r="C2230" s="51" t="s">
        <v>23</v>
      </c>
      <c r="D2230" s="39"/>
      <c r="E2230" s="1"/>
      <c r="F2230" s="2"/>
      <c r="G2230" s="41">
        <f>SUM(G2231)</f>
        <v>6120000</v>
      </c>
      <c r="H2230" s="52"/>
    </row>
    <row r="2231" spans="1:771 1026:1795 2050:2819 3074:3843 4098:4867 5122:5891 6146:6915 7170:7939 8194:8963 9218:9987 10242:11011 11266:12035 12290:13059 13314:14083 14338:15107 15362:16131" s="35" customFormat="1" x14ac:dyDescent="0.3">
      <c r="A2231" s="36"/>
      <c r="B2231" s="46"/>
      <c r="C2231" s="50" t="s">
        <v>24</v>
      </c>
      <c r="D2231" s="39" t="s">
        <v>25</v>
      </c>
      <c r="E2231" s="1">
        <f>2*30*6</f>
        <v>360</v>
      </c>
      <c r="F2231" s="2">
        <v>17000</v>
      </c>
      <c r="G2231" s="40">
        <f>E2231*F2231</f>
        <v>6120000</v>
      </c>
      <c r="H2231" s="42"/>
    </row>
    <row r="2232" spans="1:771 1026:1795 2050:2819 3074:3843 4098:4867 5122:5891 6146:6915 7170:7939 8194:8963 9218:9987 10242:11011 11266:12035 12290:13059 13314:14083 14338:15107 15362:16131" s="35" customFormat="1" ht="65.400000000000006" thickBot="1" x14ac:dyDescent="0.35">
      <c r="A2232" s="53"/>
      <c r="B2232" s="54"/>
      <c r="C2232" s="55" t="s">
        <v>2331</v>
      </c>
      <c r="D2232" s="56"/>
      <c r="E2232" s="5"/>
      <c r="F2232" s="6"/>
      <c r="G2232" s="57"/>
      <c r="H2232" s="58"/>
    </row>
    <row r="2233" spans="1:771 1026:1795 2050:2819 3074:3843 4098:4867 5122:5891 6146:6915 7170:7939 8194:8963 9218:9987 10242:11011 11266:12035 12290:13059 13314:14083 14338:15107 15362:16131" s="59" customFormat="1" ht="31.8" thickBot="1" x14ac:dyDescent="0.35">
      <c r="A2233" s="154"/>
      <c r="B2233" s="155" t="s">
        <v>26</v>
      </c>
      <c r="C2233" s="156"/>
      <c r="D2233" s="154"/>
      <c r="E2233" s="157"/>
      <c r="F2233" s="158"/>
      <c r="G2233" s="159">
        <f>SUM(G2225:G2232)/2</f>
        <v>164260800</v>
      </c>
      <c r="H2233" s="160"/>
      <c r="IX2233" s="35"/>
      <c r="IY2233" s="35"/>
      <c r="ST2233" s="35"/>
      <c r="SU2233" s="35"/>
      <c r="ACP2233" s="35"/>
      <c r="ACQ2233" s="35"/>
      <c r="AML2233" s="35"/>
      <c r="AMM2233" s="35"/>
      <c r="AWH2233" s="35"/>
      <c r="AWI2233" s="35"/>
      <c r="BGD2233" s="35"/>
      <c r="BGE2233" s="35"/>
      <c r="BPZ2233" s="35"/>
      <c r="BQA2233" s="35"/>
      <c r="BZV2233" s="35"/>
      <c r="BZW2233" s="35"/>
      <c r="CJR2233" s="35"/>
      <c r="CJS2233" s="35"/>
      <c r="CTN2233" s="35"/>
      <c r="CTO2233" s="35"/>
      <c r="DDJ2233" s="35"/>
      <c r="DDK2233" s="35"/>
      <c r="DNF2233" s="35"/>
      <c r="DNG2233" s="35"/>
      <c r="DXB2233" s="35"/>
      <c r="DXC2233" s="35"/>
      <c r="EGX2233" s="35"/>
      <c r="EGY2233" s="35"/>
      <c r="EQT2233" s="35"/>
      <c r="EQU2233" s="35"/>
      <c r="FAP2233" s="35"/>
      <c r="FAQ2233" s="35"/>
      <c r="FKL2233" s="35"/>
      <c r="FKM2233" s="35"/>
      <c r="FUH2233" s="35"/>
      <c r="FUI2233" s="35"/>
      <c r="GED2233" s="35"/>
      <c r="GEE2233" s="35"/>
      <c r="GNZ2233" s="35"/>
      <c r="GOA2233" s="35"/>
      <c r="GXV2233" s="35"/>
      <c r="GXW2233" s="35"/>
      <c r="HHR2233" s="35"/>
      <c r="HHS2233" s="35"/>
      <c r="HRN2233" s="35"/>
      <c r="HRO2233" s="35"/>
      <c r="IBJ2233" s="35"/>
      <c r="IBK2233" s="35"/>
      <c r="ILF2233" s="35"/>
      <c r="ILG2233" s="35"/>
      <c r="IVB2233" s="35"/>
      <c r="IVC2233" s="35"/>
      <c r="JEX2233" s="35"/>
      <c r="JEY2233" s="35"/>
      <c r="JOT2233" s="35"/>
      <c r="JOU2233" s="35"/>
      <c r="JYP2233" s="35"/>
      <c r="JYQ2233" s="35"/>
      <c r="KIL2233" s="35"/>
      <c r="KIM2233" s="35"/>
      <c r="KSH2233" s="35"/>
      <c r="KSI2233" s="35"/>
      <c r="LCD2233" s="35"/>
      <c r="LCE2233" s="35"/>
      <c r="LLZ2233" s="35"/>
      <c r="LMA2233" s="35"/>
      <c r="LVV2233" s="35"/>
      <c r="LVW2233" s="35"/>
      <c r="MFR2233" s="35"/>
      <c r="MFS2233" s="35"/>
      <c r="MPN2233" s="35"/>
      <c r="MPO2233" s="35"/>
      <c r="MZJ2233" s="35"/>
      <c r="MZK2233" s="35"/>
      <c r="NJF2233" s="35"/>
      <c r="NJG2233" s="35"/>
      <c r="NTB2233" s="35"/>
      <c r="NTC2233" s="35"/>
      <c r="OCX2233" s="35"/>
      <c r="OCY2233" s="35"/>
      <c r="OMT2233" s="35"/>
      <c r="OMU2233" s="35"/>
      <c r="OWP2233" s="35"/>
      <c r="OWQ2233" s="35"/>
      <c r="PGL2233" s="35"/>
      <c r="PGM2233" s="35"/>
      <c r="PQH2233" s="35"/>
      <c r="PQI2233" s="35"/>
      <c r="QAD2233" s="35"/>
      <c r="QAE2233" s="35"/>
      <c r="QJZ2233" s="35"/>
      <c r="QKA2233" s="35"/>
      <c r="QTV2233" s="35"/>
      <c r="QTW2233" s="35"/>
      <c r="RDR2233" s="35"/>
      <c r="RDS2233" s="35"/>
      <c r="RNN2233" s="35"/>
      <c r="RNO2233" s="35"/>
      <c r="RXJ2233" s="35"/>
      <c r="RXK2233" s="35"/>
      <c r="SHF2233" s="35"/>
      <c r="SHG2233" s="35"/>
      <c r="SRB2233" s="35"/>
      <c r="SRC2233" s="35"/>
      <c r="TAX2233" s="35"/>
      <c r="TAY2233" s="35"/>
      <c r="TKT2233" s="35"/>
      <c r="TKU2233" s="35"/>
      <c r="TUP2233" s="35"/>
      <c r="TUQ2233" s="35"/>
      <c r="UEL2233" s="35"/>
      <c r="UEM2233" s="35"/>
      <c r="UOH2233" s="35"/>
      <c r="UOI2233" s="35"/>
      <c r="UYD2233" s="35"/>
      <c r="UYE2233" s="35"/>
      <c r="VHZ2233" s="35"/>
      <c r="VIA2233" s="35"/>
      <c r="VRV2233" s="35"/>
      <c r="VRW2233" s="35"/>
      <c r="WBR2233" s="35"/>
      <c r="WBS2233" s="35"/>
      <c r="WLN2233" s="35"/>
      <c r="WLO2233" s="35"/>
      <c r="WVJ2233" s="35"/>
      <c r="WVK2233" s="35"/>
    </row>
    <row r="2234" spans="1:771 1026:1795 2050:2819 3074:3843 4098:4867 5122:5891 6146:6915 7170:7939 8194:8963 9218:9987 10242:11011 11266:12035 12290:13059 13314:14083 14338:15107 15362:16131" s="35" customFormat="1" ht="55.2" x14ac:dyDescent="0.3">
      <c r="A2234" s="28">
        <v>210</v>
      </c>
      <c r="B2234" s="29" t="s">
        <v>2285</v>
      </c>
      <c r="C2234" s="30" t="s">
        <v>1707</v>
      </c>
      <c r="D2234" s="31" t="s">
        <v>13</v>
      </c>
      <c r="E2234" s="32">
        <v>10</v>
      </c>
      <c r="F2234" s="33"/>
      <c r="G2234" s="33"/>
      <c r="H2234" s="34" t="s">
        <v>1708</v>
      </c>
    </row>
    <row r="2235" spans="1:771 1026:1795 2050:2819 3074:3843 4098:4867 5122:5891 6146:6915 7170:7939 8194:8963 9218:9987 10242:11011 11266:12035 12290:13059 13314:14083 14338:15107 15362:16131" s="35" customFormat="1" x14ac:dyDescent="0.3">
      <c r="A2235" s="36"/>
      <c r="B2235" s="72" t="s">
        <v>1701</v>
      </c>
      <c r="C2235" s="38" t="s">
        <v>14</v>
      </c>
      <c r="D2235" s="39"/>
      <c r="E2235" s="44"/>
      <c r="F2235" s="40"/>
      <c r="G2235" s="41">
        <f>SUM(G2236)</f>
        <v>104040000</v>
      </c>
      <c r="H2235" s="42"/>
    </row>
    <row r="2236" spans="1:771 1026:1795 2050:2819 3074:3843 4098:4867 5122:5891 6146:6915 7170:7939 8194:8963 9218:9987 10242:11011 11266:12035 12290:13059 13314:14083 14338:15107 15362:16131" s="35" customFormat="1" ht="78" x14ac:dyDescent="0.3">
      <c r="A2236" s="36"/>
      <c r="B2236" s="72" t="s">
        <v>1706</v>
      </c>
      <c r="C2236" s="43" t="s">
        <v>55</v>
      </c>
      <c r="D2236" s="39" t="s">
        <v>13</v>
      </c>
      <c r="E2236" s="44">
        <v>10</v>
      </c>
      <c r="F2236" s="153">
        <v>10404000</v>
      </c>
      <c r="G2236" s="40">
        <f>E2236*F2236</f>
        <v>104040000</v>
      </c>
      <c r="H2236" s="42"/>
    </row>
    <row r="2237" spans="1:771 1026:1795 2050:2819 3074:3843 4098:4867 5122:5891 6146:6915 7170:7939 8194:8963 9218:9987 10242:11011 11266:12035 12290:13059 13314:14083 14338:15107 15362:16131" s="35" customFormat="1" x14ac:dyDescent="0.3">
      <c r="A2237" s="36"/>
      <c r="B2237" s="38"/>
      <c r="C2237" s="47" t="s">
        <v>35</v>
      </c>
      <c r="D2237" s="39"/>
      <c r="E2237" s="73"/>
      <c r="F2237" s="40"/>
      <c r="G2237" s="41">
        <f>SUM(G2238)</f>
        <v>0</v>
      </c>
      <c r="H2237" s="45"/>
    </row>
    <row r="2238" spans="1:771 1026:1795 2050:2819 3074:3843 4098:4867 5122:5891 6146:6915 7170:7939 8194:8963 9218:9987 10242:11011 11266:12035 12290:13059 13314:14083 14338:15107 15362:16131" s="35" customFormat="1" ht="46.8" x14ac:dyDescent="0.3">
      <c r="A2238" s="36"/>
      <c r="B2238" s="38"/>
      <c r="C2238" s="66" t="s">
        <v>1709</v>
      </c>
      <c r="D2238" s="39" t="s">
        <v>13</v>
      </c>
      <c r="E2238" s="73">
        <v>10</v>
      </c>
      <c r="F2238" s="74"/>
      <c r="G2238" s="40">
        <f>E2238*F2238</f>
        <v>0</v>
      </c>
      <c r="H2238" s="45" t="s">
        <v>2562</v>
      </c>
    </row>
    <row r="2239" spans="1:771 1026:1795 2050:2819 3074:3843 4098:4867 5122:5891 6146:6915 7170:7939 8194:8963 9218:9987 10242:11011 11266:12035 12290:13059 13314:14083 14338:15107 15362:16131" s="35" customFormat="1" x14ac:dyDescent="0.3">
      <c r="A2239" s="36"/>
      <c r="B2239" s="46"/>
      <c r="C2239" s="51" t="s">
        <v>23</v>
      </c>
      <c r="D2239" s="39"/>
      <c r="E2239" s="1"/>
      <c r="F2239" s="2"/>
      <c r="G2239" s="41">
        <f>SUM(G2240:G2241)</f>
        <v>6120000</v>
      </c>
      <c r="H2239" s="52"/>
    </row>
    <row r="2240" spans="1:771 1026:1795 2050:2819 3074:3843 4098:4867 5122:5891 6146:6915 7170:7939 8194:8963 9218:9987 10242:11011 11266:12035 12290:13059 13314:14083 14338:15107 15362:16131" s="35" customFormat="1" x14ac:dyDescent="0.3">
      <c r="A2240" s="36"/>
      <c r="B2240" s="46"/>
      <c r="C2240" s="50" t="s">
        <v>24</v>
      </c>
      <c r="D2240" s="39" t="s">
        <v>25</v>
      </c>
      <c r="E2240" s="1">
        <f>2*30*6</f>
        <v>360</v>
      </c>
      <c r="F2240" s="2">
        <v>17000</v>
      </c>
      <c r="G2240" s="40">
        <f>E2240*F2240</f>
        <v>6120000</v>
      </c>
      <c r="H2240" s="42"/>
    </row>
    <row r="2241" spans="1:771 1026:1795 2050:2819 3074:3843 4098:4867 5122:5891 6146:6915 7170:7939 8194:8963 9218:9987 10242:11011 11266:12035 12290:13059 13314:14083 14338:15107 15362:16131" s="35" customFormat="1" ht="65.400000000000006" thickBot="1" x14ac:dyDescent="0.35">
      <c r="A2241" s="53"/>
      <c r="B2241" s="54"/>
      <c r="C2241" s="55" t="s">
        <v>2331</v>
      </c>
      <c r="D2241" s="56"/>
      <c r="E2241" s="5"/>
      <c r="F2241" s="6"/>
      <c r="G2241" s="57"/>
      <c r="H2241" s="58"/>
    </row>
    <row r="2242" spans="1:771 1026:1795 2050:2819 3074:3843 4098:4867 5122:5891 6146:6915 7170:7939 8194:8963 9218:9987 10242:11011 11266:12035 12290:13059 13314:14083 14338:15107 15362:16131" s="59" customFormat="1" ht="31.8" thickBot="1" x14ac:dyDescent="0.35">
      <c r="A2242" s="154"/>
      <c r="B2242" s="155" t="s">
        <v>26</v>
      </c>
      <c r="C2242" s="156"/>
      <c r="D2242" s="154"/>
      <c r="E2242" s="157"/>
      <c r="F2242" s="158"/>
      <c r="G2242" s="159">
        <f>SUM(G2234:G2241)/2</f>
        <v>110160000</v>
      </c>
      <c r="H2242" s="160"/>
      <c r="IX2242" s="35"/>
      <c r="IY2242" s="35"/>
      <c r="ST2242" s="35"/>
      <c r="SU2242" s="35"/>
      <c r="ACP2242" s="35"/>
      <c r="ACQ2242" s="35"/>
      <c r="AML2242" s="35"/>
      <c r="AMM2242" s="35"/>
      <c r="AWH2242" s="35"/>
      <c r="AWI2242" s="35"/>
      <c r="BGD2242" s="35"/>
      <c r="BGE2242" s="35"/>
      <c r="BPZ2242" s="35"/>
      <c r="BQA2242" s="35"/>
      <c r="BZV2242" s="35"/>
      <c r="BZW2242" s="35"/>
      <c r="CJR2242" s="35"/>
      <c r="CJS2242" s="35"/>
      <c r="CTN2242" s="35"/>
      <c r="CTO2242" s="35"/>
      <c r="DDJ2242" s="35"/>
      <c r="DDK2242" s="35"/>
      <c r="DNF2242" s="35"/>
      <c r="DNG2242" s="35"/>
      <c r="DXB2242" s="35"/>
      <c r="DXC2242" s="35"/>
      <c r="EGX2242" s="35"/>
      <c r="EGY2242" s="35"/>
      <c r="EQT2242" s="35"/>
      <c r="EQU2242" s="35"/>
      <c r="FAP2242" s="35"/>
      <c r="FAQ2242" s="35"/>
      <c r="FKL2242" s="35"/>
      <c r="FKM2242" s="35"/>
      <c r="FUH2242" s="35"/>
      <c r="FUI2242" s="35"/>
      <c r="GED2242" s="35"/>
      <c r="GEE2242" s="35"/>
      <c r="GNZ2242" s="35"/>
      <c r="GOA2242" s="35"/>
      <c r="GXV2242" s="35"/>
      <c r="GXW2242" s="35"/>
      <c r="HHR2242" s="35"/>
      <c r="HHS2242" s="35"/>
      <c r="HRN2242" s="35"/>
      <c r="HRO2242" s="35"/>
      <c r="IBJ2242" s="35"/>
      <c r="IBK2242" s="35"/>
      <c r="ILF2242" s="35"/>
      <c r="ILG2242" s="35"/>
      <c r="IVB2242" s="35"/>
      <c r="IVC2242" s="35"/>
      <c r="JEX2242" s="35"/>
      <c r="JEY2242" s="35"/>
      <c r="JOT2242" s="35"/>
      <c r="JOU2242" s="35"/>
      <c r="JYP2242" s="35"/>
      <c r="JYQ2242" s="35"/>
      <c r="KIL2242" s="35"/>
      <c r="KIM2242" s="35"/>
      <c r="KSH2242" s="35"/>
      <c r="KSI2242" s="35"/>
      <c r="LCD2242" s="35"/>
      <c r="LCE2242" s="35"/>
      <c r="LLZ2242" s="35"/>
      <c r="LMA2242" s="35"/>
      <c r="LVV2242" s="35"/>
      <c r="LVW2242" s="35"/>
      <c r="MFR2242" s="35"/>
      <c r="MFS2242" s="35"/>
      <c r="MPN2242" s="35"/>
      <c r="MPO2242" s="35"/>
      <c r="MZJ2242" s="35"/>
      <c r="MZK2242" s="35"/>
      <c r="NJF2242" s="35"/>
      <c r="NJG2242" s="35"/>
      <c r="NTB2242" s="35"/>
      <c r="NTC2242" s="35"/>
      <c r="OCX2242" s="35"/>
      <c r="OCY2242" s="35"/>
      <c r="OMT2242" s="35"/>
      <c r="OMU2242" s="35"/>
      <c r="OWP2242" s="35"/>
      <c r="OWQ2242" s="35"/>
      <c r="PGL2242" s="35"/>
      <c r="PGM2242" s="35"/>
      <c r="PQH2242" s="35"/>
      <c r="PQI2242" s="35"/>
      <c r="QAD2242" s="35"/>
      <c r="QAE2242" s="35"/>
      <c r="QJZ2242" s="35"/>
      <c r="QKA2242" s="35"/>
      <c r="QTV2242" s="35"/>
      <c r="QTW2242" s="35"/>
      <c r="RDR2242" s="35"/>
      <c r="RDS2242" s="35"/>
      <c r="RNN2242" s="35"/>
      <c r="RNO2242" s="35"/>
      <c r="RXJ2242" s="35"/>
      <c r="RXK2242" s="35"/>
      <c r="SHF2242" s="35"/>
      <c r="SHG2242" s="35"/>
      <c r="SRB2242" s="35"/>
      <c r="SRC2242" s="35"/>
      <c r="TAX2242" s="35"/>
      <c r="TAY2242" s="35"/>
      <c r="TKT2242" s="35"/>
      <c r="TKU2242" s="35"/>
      <c r="TUP2242" s="35"/>
      <c r="TUQ2242" s="35"/>
      <c r="UEL2242" s="35"/>
      <c r="UEM2242" s="35"/>
      <c r="UOH2242" s="35"/>
      <c r="UOI2242" s="35"/>
      <c r="UYD2242" s="35"/>
      <c r="UYE2242" s="35"/>
      <c r="VHZ2242" s="35"/>
      <c r="VIA2242" s="35"/>
      <c r="VRV2242" s="35"/>
      <c r="VRW2242" s="35"/>
      <c r="WBR2242" s="35"/>
      <c r="WBS2242" s="35"/>
      <c r="WLN2242" s="35"/>
      <c r="WLO2242" s="35"/>
      <c r="WVJ2242" s="35"/>
      <c r="WVK2242" s="35"/>
    </row>
    <row r="2243" spans="1:771 1026:1795 2050:2819 3074:3843 4098:4867 5122:5891 6146:6915 7170:7939 8194:8963 9218:9987 10242:11011 11266:12035 12290:13059 13314:14083 14338:15107 15362:16131" s="35" customFormat="1" ht="55.2" x14ac:dyDescent="0.3">
      <c r="A2243" s="28">
        <v>211</v>
      </c>
      <c r="B2243" s="29" t="s">
        <v>1710</v>
      </c>
      <c r="C2243" s="30" t="s">
        <v>1714</v>
      </c>
      <c r="D2243" s="31" t="s">
        <v>13</v>
      </c>
      <c r="E2243" s="32">
        <v>12</v>
      </c>
      <c r="F2243" s="33"/>
      <c r="G2243" s="33"/>
      <c r="H2243" s="34" t="s">
        <v>1715</v>
      </c>
    </row>
    <row r="2244" spans="1:771 1026:1795 2050:2819 3074:3843 4098:4867 5122:5891 6146:6915 7170:7939 8194:8963 9218:9987 10242:11011 11266:12035 12290:13059 13314:14083 14338:15107 15362:16131" s="35" customFormat="1" x14ac:dyDescent="0.3">
      <c r="A2244" s="36"/>
      <c r="B2244" s="72" t="s">
        <v>1712</v>
      </c>
      <c r="C2244" s="38" t="s">
        <v>14</v>
      </c>
      <c r="D2244" s="39"/>
      <c r="E2244" s="44"/>
      <c r="F2244" s="40"/>
      <c r="G2244" s="41">
        <f>SUM(G2245)</f>
        <v>124848000</v>
      </c>
      <c r="H2244" s="42"/>
    </row>
    <row r="2245" spans="1:771 1026:1795 2050:2819 3074:3843 4098:4867 5122:5891 6146:6915 7170:7939 8194:8963 9218:9987 10242:11011 11266:12035 12290:13059 13314:14083 14338:15107 15362:16131" s="35" customFormat="1" ht="62.4" x14ac:dyDescent="0.3">
      <c r="A2245" s="36"/>
      <c r="B2245" s="72" t="s">
        <v>1711</v>
      </c>
      <c r="C2245" s="43" t="s">
        <v>55</v>
      </c>
      <c r="D2245" s="39" t="s">
        <v>13</v>
      </c>
      <c r="E2245" s="44">
        <v>12</v>
      </c>
      <c r="F2245" s="153">
        <v>10404000</v>
      </c>
      <c r="G2245" s="40">
        <f>E2245*F2245</f>
        <v>124848000</v>
      </c>
      <c r="H2245" s="42"/>
    </row>
    <row r="2246" spans="1:771 1026:1795 2050:2819 3074:3843 4098:4867 5122:5891 6146:6915 7170:7939 8194:8963 9218:9987 10242:11011 11266:12035 12290:13059 13314:14083 14338:15107 15362:16131" s="35" customFormat="1" x14ac:dyDescent="0.3">
      <c r="A2246" s="36"/>
      <c r="B2246" s="72" t="s">
        <v>1713</v>
      </c>
      <c r="C2246" s="47" t="s">
        <v>35</v>
      </c>
      <c r="D2246" s="39"/>
      <c r="E2246" s="73"/>
      <c r="F2246" s="40"/>
      <c r="G2246" s="41">
        <f>SUM(G2247)</f>
        <v>0</v>
      </c>
      <c r="H2246" s="45"/>
    </row>
    <row r="2247" spans="1:771 1026:1795 2050:2819 3074:3843 4098:4867 5122:5891 6146:6915 7170:7939 8194:8963 9218:9987 10242:11011 11266:12035 12290:13059 13314:14083 14338:15107 15362:16131" s="35" customFormat="1" ht="62.4" x14ac:dyDescent="0.3">
      <c r="A2247" s="36"/>
      <c r="B2247" s="38"/>
      <c r="C2247" s="66" t="s">
        <v>1716</v>
      </c>
      <c r="D2247" s="39" t="s">
        <v>13</v>
      </c>
      <c r="E2247" s="73">
        <v>11.34</v>
      </c>
      <c r="F2247" s="74"/>
      <c r="G2247" s="40">
        <f>E2247*F2247</f>
        <v>0</v>
      </c>
      <c r="H2247" s="45" t="s">
        <v>2563</v>
      </c>
    </row>
    <row r="2248" spans="1:771 1026:1795 2050:2819 3074:3843 4098:4867 5122:5891 6146:6915 7170:7939 8194:8963 9218:9987 10242:11011 11266:12035 12290:13059 13314:14083 14338:15107 15362:16131" s="35" customFormat="1" x14ac:dyDescent="0.3">
      <c r="A2248" s="36"/>
      <c r="B2248" s="46"/>
      <c r="C2248" s="51" t="s">
        <v>23</v>
      </c>
      <c r="D2248" s="39"/>
      <c r="E2248" s="1"/>
      <c r="F2248" s="2"/>
      <c r="G2248" s="41">
        <f>SUM(G2249)</f>
        <v>6120000</v>
      </c>
      <c r="H2248" s="52"/>
    </row>
    <row r="2249" spans="1:771 1026:1795 2050:2819 3074:3843 4098:4867 5122:5891 6146:6915 7170:7939 8194:8963 9218:9987 10242:11011 11266:12035 12290:13059 13314:14083 14338:15107 15362:16131" s="35" customFormat="1" x14ac:dyDescent="0.3">
      <c r="A2249" s="36"/>
      <c r="B2249" s="46"/>
      <c r="C2249" s="50" t="s">
        <v>24</v>
      </c>
      <c r="D2249" s="39" t="s">
        <v>25</v>
      </c>
      <c r="E2249" s="1">
        <f>2*30*6</f>
        <v>360</v>
      </c>
      <c r="F2249" s="2">
        <v>17000</v>
      </c>
      <c r="G2249" s="40">
        <f>E2249*F2249</f>
        <v>6120000</v>
      </c>
      <c r="H2249" s="42"/>
    </row>
    <row r="2250" spans="1:771 1026:1795 2050:2819 3074:3843 4098:4867 5122:5891 6146:6915 7170:7939 8194:8963 9218:9987 10242:11011 11266:12035 12290:13059 13314:14083 14338:15107 15362:16131" s="35" customFormat="1" ht="65.400000000000006" thickBot="1" x14ac:dyDescent="0.35">
      <c r="A2250" s="53"/>
      <c r="B2250" s="54"/>
      <c r="C2250" s="55" t="s">
        <v>2331</v>
      </c>
      <c r="D2250" s="56"/>
      <c r="E2250" s="5"/>
      <c r="F2250" s="6"/>
      <c r="G2250" s="57"/>
      <c r="H2250" s="58"/>
    </row>
    <row r="2251" spans="1:771 1026:1795 2050:2819 3074:3843 4098:4867 5122:5891 6146:6915 7170:7939 8194:8963 9218:9987 10242:11011 11266:12035 12290:13059 13314:14083 14338:15107 15362:16131" s="59" customFormat="1" ht="31.8" thickBot="1" x14ac:dyDescent="0.35">
      <c r="A2251" s="154"/>
      <c r="B2251" s="155" t="s">
        <v>26</v>
      </c>
      <c r="C2251" s="156"/>
      <c r="D2251" s="154"/>
      <c r="E2251" s="157"/>
      <c r="F2251" s="158"/>
      <c r="G2251" s="159">
        <f>SUM(G2243:G2250)/2</f>
        <v>130968000</v>
      </c>
      <c r="H2251" s="160"/>
      <c r="IX2251" s="35"/>
      <c r="IY2251" s="35"/>
      <c r="ST2251" s="35"/>
      <c r="SU2251" s="35"/>
      <c r="ACP2251" s="35"/>
      <c r="ACQ2251" s="35"/>
      <c r="AML2251" s="35"/>
      <c r="AMM2251" s="35"/>
      <c r="AWH2251" s="35"/>
      <c r="AWI2251" s="35"/>
      <c r="BGD2251" s="35"/>
      <c r="BGE2251" s="35"/>
      <c r="BPZ2251" s="35"/>
      <c r="BQA2251" s="35"/>
      <c r="BZV2251" s="35"/>
      <c r="BZW2251" s="35"/>
      <c r="CJR2251" s="35"/>
      <c r="CJS2251" s="35"/>
      <c r="CTN2251" s="35"/>
      <c r="CTO2251" s="35"/>
      <c r="DDJ2251" s="35"/>
      <c r="DDK2251" s="35"/>
      <c r="DNF2251" s="35"/>
      <c r="DNG2251" s="35"/>
      <c r="DXB2251" s="35"/>
      <c r="DXC2251" s="35"/>
      <c r="EGX2251" s="35"/>
      <c r="EGY2251" s="35"/>
      <c r="EQT2251" s="35"/>
      <c r="EQU2251" s="35"/>
      <c r="FAP2251" s="35"/>
      <c r="FAQ2251" s="35"/>
      <c r="FKL2251" s="35"/>
      <c r="FKM2251" s="35"/>
      <c r="FUH2251" s="35"/>
      <c r="FUI2251" s="35"/>
      <c r="GED2251" s="35"/>
      <c r="GEE2251" s="35"/>
      <c r="GNZ2251" s="35"/>
      <c r="GOA2251" s="35"/>
      <c r="GXV2251" s="35"/>
      <c r="GXW2251" s="35"/>
      <c r="HHR2251" s="35"/>
      <c r="HHS2251" s="35"/>
      <c r="HRN2251" s="35"/>
      <c r="HRO2251" s="35"/>
      <c r="IBJ2251" s="35"/>
      <c r="IBK2251" s="35"/>
      <c r="ILF2251" s="35"/>
      <c r="ILG2251" s="35"/>
      <c r="IVB2251" s="35"/>
      <c r="IVC2251" s="35"/>
      <c r="JEX2251" s="35"/>
      <c r="JEY2251" s="35"/>
      <c r="JOT2251" s="35"/>
      <c r="JOU2251" s="35"/>
      <c r="JYP2251" s="35"/>
      <c r="JYQ2251" s="35"/>
      <c r="KIL2251" s="35"/>
      <c r="KIM2251" s="35"/>
      <c r="KSH2251" s="35"/>
      <c r="KSI2251" s="35"/>
      <c r="LCD2251" s="35"/>
      <c r="LCE2251" s="35"/>
      <c r="LLZ2251" s="35"/>
      <c r="LMA2251" s="35"/>
      <c r="LVV2251" s="35"/>
      <c r="LVW2251" s="35"/>
      <c r="MFR2251" s="35"/>
      <c r="MFS2251" s="35"/>
      <c r="MPN2251" s="35"/>
      <c r="MPO2251" s="35"/>
      <c r="MZJ2251" s="35"/>
      <c r="MZK2251" s="35"/>
      <c r="NJF2251" s="35"/>
      <c r="NJG2251" s="35"/>
      <c r="NTB2251" s="35"/>
      <c r="NTC2251" s="35"/>
      <c r="OCX2251" s="35"/>
      <c r="OCY2251" s="35"/>
      <c r="OMT2251" s="35"/>
      <c r="OMU2251" s="35"/>
      <c r="OWP2251" s="35"/>
      <c r="OWQ2251" s="35"/>
      <c r="PGL2251" s="35"/>
      <c r="PGM2251" s="35"/>
      <c r="PQH2251" s="35"/>
      <c r="PQI2251" s="35"/>
      <c r="QAD2251" s="35"/>
      <c r="QAE2251" s="35"/>
      <c r="QJZ2251" s="35"/>
      <c r="QKA2251" s="35"/>
      <c r="QTV2251" s="35"/>
      <c r="QTW2251" s="35"/>
      <c r="RDR2251" s="35"/>
      <c r="RDS2251" s="35"/>
      <c r="RNN2251" s="35"/>
      <c r="RNO2251" s="35"/>
      <c r="RXJ2251" s="35"/>
      <c r="RXK2251" s="35"/>
      <c r="SHF2251" s="35"/>
      <c r="SHG2251" s="35"/>
      <c r="SRB2251" s="35"/>
      <c r="SRC2251" s="35"/>
      <c r="TAX2251" s="35"/>
      <c r="TAY2251" s="35"/>
      <c r="TKT2251" s="35"/>
      <c r="TKU2251" s="35"/>
      <c r="TUP2251" s="35"/>
      <c r="TUQ2251" s="35"/>
      <c r="UEL2251" s="35"/>
      <c r="UEM2251" s="35"/>
      <c r="UOH2251" s="35"/>
      <c r="UOI2251" s="35"/>
      <c r="UYD2251" s="35"/>
      <c r="UYE2251" s="35"/>
      <c r="VHZ2251" s="35"/>
      <c r="VIA2251" s="35"/>
      <c r="VRV2251" s="35"/>
      <c r="VRW2251" s="35"/>
      <c r="WBR2251" s="35"/>
      <c r="WBS2251" s="35"/>
      <c r="WLN2251" s="35"/>
      <c r="WLO2251" s="35"/>
      <c r="WVJ2251" s="35"/>
      <c r="WVK2251" s="35"/>
    </row>
    <row r="2252" spans="1:771 1026:1795 2050:2819 3074:3843 4098:4867 5122:5891 6146:6915 7170:7939 8194:8963 9218:9987 10242:11011 11266:12035 12290:13059 13314:14083 14338:15107 15362:16131" s="35" customFormat="1" ht="55.2" x14ac:dyDescent="0.3">
      <c r="A2252" s="28">
        <v>212</v>
      </c>
      <c r="B2252" s="29" t="s">
        <v>1717</v>
      </c>
      <c r="C2252" s="30" t="s">
        <v>2284</v>
      </c>
      <c r="D2252" s="31" t="s">
        <v>13</v>
      </c>
      <c r="E2252" s="32">
        <v>2.9</v>
      </c>
      <c r="F2252" s="33"/>
      <c r="G2252" s="33"/>
      <c r="H2252" s="34" t="s">
        <v>1721</v>
      </c>
    </row>
    <row r="2253" spans="1:771 1026:1795 2050:2819 3074:3843 4098:4867 5122:5891 6146:6915 7170:7939 8194:8963 9218:9987 10242:11011 11266:12035 12290:13059 13314:14083 14338:15107 15362:16131" s="35" customFormat="1" x14ac:dyDescent="0.3">
      <c r="A2253" s="36"/>
      <c r="B2253" s="72" t="s">
        <v>1718</v>
      </c>
      <c r="C2253" s="38" t="s">
        <v>14</v>
      </c>
      <c r="D2253" s="39"/>
      <c r="E2253" s="44"/>
      <c r="F2253" s="40"/>
      <c r="G2253" s="41">
        <f>SUM(G2254)</f>
        <v>56489100</v>
      </c>
      <c r="H2253" s="42"/>
    </row>
    <row r="2254" spans="1:771 1026:1795 2050:2819 3074:3843 4098:4867 5122:5891 6146:6915 7170:7939 8194:8963 9218:9987 10242:11011 11266:12035 12290:13059 13314:14083 14338:15107 15362:16131" s="35" customFormat="1" ht="62.4" x14ac:dyDescent="0.3">
      <c r="A2254" s="36"/>
      <c r="B2254" s="72" t="s">
        <v>1720</v>
      </c>
      <c r="C2254" s="48" t="s">
        <v>38</v>
      </c>
      <c r="D2254" s="39" t="s">
        <v>13</v>
      </c>
      <c r="E2254" s="44">
        <v>2.9</v>
      </c>
      <c r="F2254" s="161">
        <v>19479000</v>
      </c>
      <c r="G2254" s="40">
        <f>E2254*F2254</f>
        <v>56489100</v>
      </c>
      <c r="H2254" s="42"/>
    </row>
    <row r="2255" spans="1:771 1026:1795 2050:2819 3074:3843 4098:4867 5122:5891 6146:6915 7170:7939 8194:8963 9218:9987 10242:11011 11266:12035 12290:13059 13314:14083 14338:15107 15362:16131" s="35" customFormat="1" x14ac:dyDescent="0.3">
      <c r="A2255" s="36"/>
      <c r="B2255" s="72" t="s">
        <v>1719</v>
      </c>
      <c r="C2255" s="47" t="s">
        <v>35</v>
      </c>
      <c r="D2255" s="39"/>
      <c r="E2255" s="73"/>
      <c r="F2255" s="40"/>
      <c r="G2255" s="41">
        <f>SUM(G2256)</f>
        <v>1388640</v>
      </c>
      <c r="H2255" s="45"/>
    </row>
    <row r="2256" spans="1:771 1026:1795 2050:2819 3074:3843 4098:4867 5122:5891 6146:6915 7170:7939 8194:8963 9218:9987 10242:11011 11266:12035 12290:13059 13314:14083 14338:15107 15362:16131" s="35" customFormat="1" ht="62.4" x14ac:dyDescent="0.3">
      <c r="A2256" s="36"/>
      <c r="B2256" s="38"/>
      <c r="C2256" s="66" t="s">
        <v>1722</v>
      </c>
      <c r="D2256" s="39" t="s">
        <v>13</v>
      </c>
      <c r="E2256" s="73">
        <v>4.4000000000000004</v>
      </c>
      <c r="F2256" s="74">
        <f>789000*40%</f>
        <v>315600</v>
      </c>
      <c r="G2256" s="40">
        <f>E2256*F2256</f>
        <v>1388640</v>
      </c>
      <c r="H2256" s="45" t="s">
        <v>2564</v>
      </c>
    </row>
    <row r="2257" spans="1:771 1026:1795 2050:2819 3074:3843 4098:4867 5122:5891 6146:6915 7170:7939 8194:8963 9218:9987 10242:11011 11266:12035 12290:13059 13314:14083 14338:15107 15362:16131" s="35" customFormat="1" ht="65.400000000000006" thickBot="1" x14ac:dyDescent="0.35">
      <c r="A2257" s="53"/>
      <c r="B2257" s="54"/>
      <c r="C2257" s="55" t="s">
        <v>2331</v>
      </c>
      <c r="D2257" s="56"/>
      <c r="E2257" s="5"/>
      <c r="F2257" s="6"/>
      <c r="G2257" s="57"/>
      <c r="H2257" s="58"/>
    </row>
    <row r="2258" spans="1:771 1026:1795 2050:2819 3074:3843 4098:4867 5122:5891 6146:6915 7170:7939 8194:8963 9218:9987 10242:11011 11266:12035 12290:13059 13314:14083 14338:15107 15362:16131" s="59" customFormat="1" ht="31.8" thickBot="1" x14ac:dyDescent="0.35">
      <c r="A2258" s="154"/>
      <c r="B2258" s="155" t="s">
        <v>26</v>
      </c>
      <c r="C2258" s="156"/>
      <c r="D2258" s="154"/>
      <c r="E2258" s="157"/>
      <c r="F2258" s="158"/>
      <c r="G2258" s="159">
        <f>SUM(G2252:G2257)/2</f>
        <v>57877740</v>
      </c>
      <c r="H2258" s="160"/>
      <c r="IX2258" s="35"/>
      <c r="IY2258" s="35"/>
      <c r="ST2258" s="35"/>
      <c r="SU2258" s="35"/>
      <c r="ACP2258" s="35"/>
      <c r="ACQ2258" s="35"/>
      <c r="AML2258" s="35"/>
      <c r="AMM2258" s="35"/>
      <c r="AWH2258" s="35"/>
      <c r="AWI2258" s="35"/>
      <c r="BGD2258" s="35"/>
      <c r="BGE2258" s="35"/>
      <c r="BPZ2258" s="35"/>
      <c r="BQA2258" s="35"/>
      <c r="BZV2258" s="35"/>
      <c r="BZW2258" s="35"/>
      <c r="CJR2258" s="35"/>
      <c r="CJS2258" s="35"/>
      <c r="CTN2258" s="35"/>
      <c r="CTO2258" s="35"/>
      <c r="DDJ2258" s="35"/>
      <c r="DDK2258" s="35"/>
      <c r="DNF2258" s="35"/>
      <c r="DNG2258" s="35"/>
      <c r="DXB2258" s="35"/>
      <c r="DXC2258" s="35"/>
      <c r="EGX2258" s="35"/>
      <c r="EGY2258" s="35"/>
      <c r="EQT2258" s="35"/>
      <c r="EQU2258" s="35"/>
      <c r="FAP2258" s="35"/>
      <c r="FAQ2258" s="35"/>
      <c r="FKL2258" s="35"/>
      <c r="FKM2258" s="35"/>
      <c r="FUH2258" s="35"/>
      <c r="FUI2258" s="35"/>
      <c r="GED2258" s="35"/>
      <c r="GEE2258" s="35"/>
      <c r="GNZ2258" s="35"/>
      <c r="GOA2258" s="35"/>
      <c r="GXV2258" s="35"/>
      <c r="GXW2258" s="35"/>
      <c r="HHR2258" s="35"/>
      <c r="HHS2258" s="35"/>
      <c r="HRN2258" s="35"/>
      <c r="HRO2258" s="35"/>
      <c r="IBJ2258" s="35"/>
      <c r="IBK2258" s="35"/>
      <c r="ILF2258" s="35"/>
      <c r="ILG2258" s="35"/>
      <c r="IVB2258" s="35"/>
      <c r="IVC2258" s="35"/>
      <c r="JEX2258" s="35"/>
      <c r="JEY2258" s="35"/>
      <c r="JOT2258" s="35"/>
      <c r="JOU2258" s="35"/>
      <c r="JYP2258" s="35"/>
      <c r="JYQ2258" s="35"/>
      <c r="KIL2258" s="35"/>
      <c r="KIM2258" s="35"/>
      <c r="KSH2258" s="35"/>
      <c r="KSI2258" s="35"/>
      <c r="LCD2258" s="35"/>
      <c r="LCE2258" s="35"/>
      <c r="LLZ2258" s="35"/>
      <c r="LMA2258" s="35"/>
      <c r="LVV2258" s="35"/>
      <c r="LVW2258" s="35"/>
      <c r="MFR2258" s="35"/>
      <c r="MFS2258" s="35"/>
      <c r="MPN2258" s="35"/>
      <c r="MPO2258" s="35"/>
      <c r="MZJ2258" s="35"/>
      <c r="MZK2258" s="35"/>
      <c r="NJF2258" s="35"/>
      <c r="NJG2258" s="35"/>
      <c r="NTB2258" s="35"/>
      <c r="NTC2258" s="35"/>
      <c r="OCX2258" s="35"/>
      <c r="OCY2258" s="35"/>
      <c r="OMT2258" s="35"/>
      <c r="OMU2258" s="35"/>
      <c r="OWP2258" s="35"/>
      <c r="OWQ2258" s="35"/>
      <c r="PGL2258" s="35"/>
      <c r="PGM2258" s="35"/>
      <c r="PQH2258" s="35"/>
      <c r="PQI2258" s="35"/>
      <c r="QAD2258" s="35"/>
      <c r="QAE2258" s="35"/>
      <c r="QJZ2258" s="35"/>
      <c r="QKA2258" s="35"/>
      <c r="QTV2258" s="35"/>
      <c r="QTW2258" s="35"/>
      <c r="RDR2258" s="35"/>
      <c r="RDS2258" s="35"/>
      <c r="RNN2258" s="35"/>
      <c r="RNO2258" s="35"/>
      <c r="RXJ2258" s="35"/>
      <c r="RXK2258" s="35"/>
      <c r="SHF2258" s="35"/>
      <c r="SHG2258" s="35"/>
      <c r="SRB2258" s="35"/>
      <c r="SRC2258" s="35"/>
      <c r="TAX2258" s="35"/>
      <c r="TAY2258" s="35"/>
      <c r="TKT2258" s="35"/>
      <c r="TKU2258" s="35"/>
      <c r="TUP2258" s="35"/>
      <c r="TUQ2258" s="35"/>
      <c r="UEL2258" s="35"/>
      <c r="UEM2258" s="35"/>
      <c r="UOH2258" s="35"/>
      <c r="UOI2258" s="35"/>
      <c r="UYD2258" s="35"/>
      <c r="UYE2258" s="35"/>
      <c r="VHZ2258" s="35"/>
      <c r="VIA2258" s="35"/>
      <c r="VRV2258" s="35"/>
      <c r="VRW2258" s="35"/>
      <c r="WBR2258" s="35"/>
      <c r="WBS2258" s="35"/>
      <c r="WLN2258" s="35"/>
      <c r="WLO2258" s="35"/>
      <c r="WVJ2258" s="35"/>
      <c r="WVK2258" s="35"/>
    </row>
    <row r="2259" spans="1:771 1026:1795 2050:2819 3074:3843 4098:4867 5122:5891 6146:6915 7170:7939 8194:8963 9218:9987 10242:11011 11266:12035 12290:13059 13314:14083 14338:15107 15362:16131" s="35" customFormat="1" ht="55.2" x14ac:dyDescent="0.3">
      <c r="A2259" s="28">
        <v>213</v>
      </c>
      <c r="B2259" s="29" t="s">
        <v>1723</v>
      </c>
      <c r="C2259" s="30" t="s">
        <v>1727</v>
      </c>
      <c r="D2259" s="31" t="s">
        <v>13</v>
      </c>
      <c r="E2259" s="32">
        <v>8.1</v>
      </c>
      <c r="F2259" s="33"/>
      <c r="G2259" s="33"/>
      <c r="H2259" s="34" t="s">
        <v>1726</v>
      </c>
    </row>
    <row r="2260" spans="1:771 1026:1795 2050:2819 3074:3843 4098:4867 5122:5891 6146:6915 7170:7939 8194:8963 9218:9987 10242:11011 11266:12035 12290:13059 13314:14083 14338:15107 15362:16131" s="35" customFormat="1" x14ac:dyDescent="0.3">
      <c r="A2260" s="36"/>
      <c r="B2260" s="72" t="s">
        <v>1724</v>
      </c>
      <c r="C2260" s="38" t="s">
        <v>14</v>
      </c>
      <c r="D2260" s="39"/>
      <c r="E2260" s="44"/>
      <c r="F2260" s="40"/>
      <c r="G2260" s="41">
        <f>SUM(G2261)</f>
        <v>157779900</v>
      </c>
      <c r="H2260" s="42"/>
    </row>
    <row r="2261" spans="1:771 1026:1795 2050:2819 3074:3843 4098:4867 5122:5891 6146:6915 7170:7939 8194:8963 9218:9987 10242:11011 11266:12035 12290:13059 13314:14083 14338:15107 15362:16131" s="35" customFormat="1" ht="46.8" x14ac:dyDescent="0.3">
      <c r="A2261" s="36"/>
      <c r="B2261" s="72" t="s">
        <v>487</v>
      </c>
      <c r="C2261" s="48" t="s">
        <v>38</v>
      </c>
      <c r="D2261" s="39" t="s">
        <v>13</v>
      </c>
      <c r="E2261" s="44">
        <v>8.1</v>
      </c>
      <c r="F2261" s="161">
        <v>19479000</v>
      </c>
      <c r="G2261" s="40">
        <f>E2261*F2261</f>
        <v>157779900</v>
      </c>
      <c r="H2261" s="42"/>
    </row>
    <row r="2262" spans="1:771 1026:1795 2050:2819 3074:3843 4098:4867 5122:5891 6146:6915 7170:7939 8194:8963 9218:9987 10242:11011 11266:12035 12290:13059 13314:14083 14338:15107 15362:16131" s="35" customFormat="1" x14ac:dyDescent="0.3">
      <c r="A2262" s="36"/>
      <c r="B2262" s="72" t="s">
        <v>1725</v>
      </c>
      <c r="C2262" s="47" t="s">
        <v>35</v>
      </c>
      <c r="D2262" s="39"/>
      <c r="E2262" s="73"/>
      <c r="F2262" s="40"/>
      <c r="G2262" s="41">
        <f>SUM(G2263:G2265)</f>
        <v>1698300</v>
      </c>
      <c r="H2262" s="45"/>
    </row>
    <row r="2263" spans="1:771 1026:1795 2050:2819 3074:3843 4098:4867 5122:5891 6146:6915 7170:7939 8194:8963 9218:9987 10242:11011 11266:12035 12290:13059 13314:14083 14338:15107 15362:16131" s="35" customFormat="1" ht="46.8" x14ac:dyDescent="0.3">
      <c r="A2263" s="36"/>
      <c r="B2263" s="38"/>
      <c r="C2263" s="66" t="s">
        <v>1728</v>
      </c>
      <c r="D2263" s="39" t="s">
        <v>13</v>
      </c>
      <c r="E2263" s="73">
        <f>((1.1+2)*3.8)/2</f>
        <v>5.89</v>
      </c>
      <c r="F2263" s="74">
        <f>540000*40%</f>
        <v>216000</v>
      </c>
      <c r="G2263" s="40">
        <f>E2263*F2263</f>
        <v>1272240</v>
      </c>
      <c r="H2263" s="45" t="s">
        <v>2374</v>
      </c>
    </row>
    <row r="2264" spans="1:771 1026:1795 2050:2819 3074:3843 4098:4867 5122:5891 6146:6915 7170:7939 8194:8963 9218:9987 10242:11011 11266:12035 12290:13059 13314:14083 14338:15107 15362:16131" s="35" customFormat="1" ht="46.8" x14ac:dyDescent="0.3">
      <c r="A2264" s="36"/>
      <c r="B2264" s="38"/>
      <c r="C2264" s="66" t="s">
        <v>1729</v>
      </c>
      <c r="D2264" s="39" t="s">
        <v>13</v>
      </c>
      <c r="E2264" s="73">
        <f>0.9*3/2</f>
        <v>1.35</v>
      </c>
      <c r="F2264" s="74">
        <f>789000*40%</f>
        <v>315600</v>
      </c>
      <c r="G2264" s="40">
        <f>E2264*F2264</f>
        <v>426060</v>
      </c>
      <c r="H2264" s="45" t="s">
        <v>2378</v>
      </c>
    </row>
    <row r="2265" spans="1:771 1026:1795 2050:2819 3074:3843 4098:4867 5122:5891 6146:6915 7170:7939 8194:8963 9218:9987 10242:11011 11266:12035 12290:13059 13314:14083 14338:15107 15362:16131" s="35" customFormat="1" ht="65.400000000000006" thickBot="1" x14ac:dyDescent="0.35">
      <c r="A2265" s="53"/>
      <c r="B2265" s="54"/>
      <c r="C2265" s="55" t="s">
        <v>2331</v>
      </c>
      <c r="D2265" s="56"/>
      <c r="E2265" s="5"/>
      <c r="F2265" s="6"/>
      <c r="G2265" s="57"/>
      <c r="H2265" s="58"/>
    </row>
    <row r="2266" spans="1:771 1026:1795 2050:2819 3074:3843 4098:4867 5122:5891 6146:6915 7170:7939 8194:8963 9218:9987 10242:11011 11266:12035 12290:13059 13314:14083 14338:15107 15362:16131" s="59" customFormat="1" ht="31.8" thickBot="1" x14ac:dyDescent="0.35">
      <c r="A2266" s="154"/>
      <c r="B2266" s="155" t="s">
        <v>26</v>
      </c>
      <c r="C2266" s="156"/>
      <c r="D2266" s="154"/>
      <c r="E2266" s="157"/>
      <c r="F2266" s="158"/>
      <c r="G2266" s="159">
        <f>SUM(G2259:G2265)/2</f>
        <v>159478200</v>
      </c>
      <c r="H2266" s="160"/>
      <c r="IX2266" s="35"/>
      <c r="IY2266" s="35"/>
      <c r="ST2266" s="35"/>
      <c r="SU2266" s="35"/>
      <c r="ACP2266" s="35"/>
      <c r="ACQ2266" s="35"/>
      <c r="AML2266" s="35"/>
      <c r="AMM2266" s="35"/>
      <c r="AWH2266" s="35"/>
      <c r="AWI2266" s="35"/>
      <c r="BGD2266" s="35"/>
      <c r="BGE2266" s="35"/>
      <c r="BPZ2266" s="35"/>
      <c r="BQA2266" s="35"/>
      <c r="BZV2266" s="35"/>
      <c r="BZW2266" s="35"/>
      <c r="CJR2266" s="35"/>
      <c r="CJS2266" s="35"/>
      <c r="CTN2266" s="35"/>
      <c r="CTO2266" s="35"/>
      <c r="DDJ2266" s="35"/>
      <c r="DDK2266" s="35"/>
      <c r="DNF2266" s="35"/>
      <c r="DNG2266" s="35"/>
      <c r="DXB2266" s="35"/>
      <c r="DXC2266" s="35"/>
      <c r="EGX2266" s="35"/>
      <c r="EGY2266" s="35"/>
      <c r="EQT2266" s="35"/>
      <c r="EQU2266" s="35"/>
      <c r="FAP2266" s="35"/>
      <c r="FAQ2266" s="35"/>
      <c r="FKL2266" s="35"/>
      <c r="FKM2266" s="35"/>
      <c r="FUH2266" s="35"/>
      <c r="FUI2266" s="35"/>
      <c r="GED2266" s="35"/>
      <c r="GEE2266" s="35"/>
      <c r="GNZ2266" s="35"/>
      <c r="GOA2266" s="35"/>
      <c r="GXV2266" s="35"/>
      <c r="GXW2266" s="35"/>
      <c r="HHR2266" s="35"/>
      <c r="HHS2266" s="35"/>
      <c r="HRN2266" s="35"/>
      <c r="HRO2266" s="35"/>
      <c r="IBJ2266" s="35"/>
      <c r="IBK2266" s="35"/>
      <c r="ILF2266" s="35"/>
      <c r="ILG2266" s="35"/>
      <c r="IVB2266" s="35"/>
      <c r="IVC2266" s="35"/>
      <c r="JEX2266" s="35"/>
      <c r="JEY2266" s="35"/>
      <c r="JOT2266" s="35"/>
      <c r="JOU2266" s="35"/>
      <c r="JYP2266" s="35"/>
      <c r="JYQ2266" s="35"/>
      <c r="KIL2266" s="35"/>
      <c r="KIM2266" s="35"/>
      <c r="KSH2266" s="35"/>
      <c r="KSI2266" s="35"/>
      <c r="LCD2266" s="35"/>
      <c r="LCE2266" s="35"/>
      <c r="LLZ2266" s="35"/>
      <c r="LMA2266" s="35"/>
      <c r="LVV2266" s="35"/>
      <c r="LVW2266" s="35"/>
      <c r="MFR2266" s="35"/>
      <c r="MFS2266" s="35"/>
      <c r="MPN2266" s="35"/>
      <c r="MPO2266" s="35"/>
      <c r="MZJ2266" s="35"/>
      <c r="MZK2266" s="35"/>
      <c r="NJF2266" s="35"/>
      <c r="NJG2266" s="35"/>
      <c r="NTB2266" s="35"/>
      <c r="NTC2266" s="35"/>
      <c r="OCX2266" s="35"/>
      <c r="OCY2266" s="35"/>
      <c r="OMT2266" s="35"/>
      <c r="OMU2266" s="35"/>
      <c r="OWP2266" s="35"/>
      <c r="OWQ2266" s="35"/>
      <c r="PGL2266" s="35"/>
      <c r="PGM2266" s="35"/>
      <c r="PQH2266" s="35"/>
      <c r="PQI2266" s="35"/>
      <c r="QAD2266" s="35"/>
      <c r="QAE2266" s="35"/>
      <c r="QJZ2266" s="35"/>
      <c r="QKA2266" s="35"/>
      <c r="QTV2266" s="35"/>
      <c r="QTW2266" s="35"/>
      <c r="RDR2266" s="35"/>
      <c r="RDS2266" s="35"/>
      <c r="RNN2266" s="35"/>
      <c r="RNO2266" s="35"/>
      <c r="RXJ2266" s="35"/>
      <c r="RXK2266" s="35"/>
      <c r="SHF2266" s="35"/>
      <c r="SHG2266" s="35"/>
      <c r="SRB2266" s="35"/>
      <c r="SRC2266" s="35"/>
      <c r="TAX2266" s="35"/>
      <c r="TAY2266" s="35"/>
      <c r="TKT2266" s="35"/>
      <c r="TKU2266" s="35"/>
      <c r="TUP2266" s="35"/>
      <c r="TUQ2266" s="35"/>
      <c r="UEL2266" s="35"/>
      <c r="UEM2266" s="35"/>
      <c r="UOH2266" s="35"/>
      <c r="UOI2266" s="35"/>
      <c r="UYD2266" s="35"/>
      <c r="UYE2266" s="35"/>
      <c r="VHZ2266" s="35"/>
      <c r="VIA2266" s="35"/>
      <c r="VRV2266" s="35"/>
      <c r="VRW2266" s="35"/>
      <c r="WBR2266" s="35"/>
      <c r="WBS2266" s="35"/>
      <c r="WLN2266" s="35"/>
      <c r="WLO2266" s="35"/>
      <c r="WVJ2266" s="35"/>
      <c r="WVK2266" s="35"/>
    </row>
    <row r="2267" spans="1:771 1026:1795 2050:2819 3074:3843 4098:4867 5122:5891 6146:6915 7170:7939 8194:8963 9218:9987 10242:11011 11266:12035 12290:13059 13314:14083 14338:15107 15362:16131" s="35" customFormat="1" ht="69" x14ac:dyDescent="0.3">
      <c r="A2267" s="28">
        <v>214</v>
      </c>
      <c r="B2267" s="29" t="s">
        <v>1730</v>
      </c>
      <c r="C2267" s="30" t="s">
        <v>2330</v>
      </c>
      <c r="D2267" s="31" t="s">
        <v>13</v>
      </c>
      <c r="E2267" s="32">
        <v>8.1999999999999993</v>
      </c>
      <c r="F2267" s="33"/>
      <c r="G2267" s="33"/>
      <c r="H2267" s="34" t="s">
        <v>1731</v>
      </c>
    </row>
    <row r="2268" spans="1:771 1026:1795 2050:2819 3074:3843 4098:4867 5122:5891 6146:6915 7170:7939 8194:8963 9218:9987 10242:11011 11266:12035 12290:13059 13314:14083 14338:15107 15362:16131" s="35" customFormat="1" x14ac:dyDescent="0.3">
      <c r="A2268" s="36"/>
      <c r="B2268" s="37" t="s">
        <v>1732</v>
      </c>
      <c r="C2268" s="38" t="s">
        <v>14</v>
      </c>
      <c r="D2268" s="39"/>
      <c r="E2268" s="44"/>
      <c r="F2268" s="40"/>
      <c r="G2268" s="41">
        <f>SUM(G2269)</f>
        <v>85312800</v>
      </c>
      <c r="H2268" s="42"/>
    </row>
    <row r="2269" spans="1:771 1026:1795 2050:2819 3074:3843 4098:4867 5122:5891 6146:6915 7170:7939 8194:8963 9218:9987 10242:11011 11266:12035 12290:13059 13314:14083 14338:15107 15362:16131" s="35" customFormat="1" ht="31.2" x14ac:dyDescent="0.3">
      <c r="A2269" s="36"/>
      <c r="B2269" s="37" t="s">
        <v>1733</v>
      </c>
      <c r="C2269" s="48" t="s">
        <v>55</v>
      </c>
      <c r="D2269" s="39" t="s">
        <v>13</v>
      </c>
      <c r="E2269" s="44">
        <v>8.1999999999999993</v>
      </c>
      <c r="F2269" s="153">
        <v>10404000</v>
      </c>
      <c r="G2269" s="40">
        <f>E2269*F2269</f>
        <v>85312800</v>
      </c>
      <c r="H2269" s="42"/>
    </row>
    <row r="2270" spans="1:771 1026:1795 2050:2819 3074:3843 4098:4867 5122:5891 6146:6915 7170:7939 8194:8963 9218:9987 10242:11011 11266:12035 12290:13059 13314:14083 14338:15107 15362:16131" s="35" customFormat="1" ht="78" x14ac:dyDescent="0.3">
      <c r="A2270" s="36"/>
      <c r="B2270" s="46" t="s">
        <v>1734</v>
      </c>
      <c r="C2270" s="47" t="s">
        <v>35</v>
      </c>
      <c r="D2270" s="39"/>
      <c r="E2270" s="44"/>
      <c r="F2270" s="40"/>
      <c r="G2270" s="41">
        <f>SUM(G2271:G2276)</f>
        <v>7836342.4000000004</v>
      </c>
      <c r="H2270" s="45"/>
    </row>
    <row r="2271" spans="1:771 1026:1795 2050:2819 3074:3843 4098:4867 5122:5891 6146:6915 7170:7939 8194:8963 9218:9987 10242:11011 11266:12035 12290:13059 13314:14083 14338:15107 15362:16131" s="35" customFormat="1" ht="140.4" x14ac:dyDescent="0.3">
      <c r="A2271" s="36"/>
      <c r="B2271" s="46" t="s">
        <v>1735</v>
      </c>
      <c r="C2271" s="66" t="s">
        <v>1736</v>
      </c>
      <c r="D2271" s="39"/>
      <c r="E2271" s="44"/>
      <c r="F2271" s="40"/>
      <c r="G2271" s="40">
        <f t="shared" ref="G2271:G2276" si="30">E2271*F2271</f>
        <v>0</v>
      </c>
      <c r="H2271" s="45"/>
    </row>
    <row r="2272" spans="1:771 1026:1795 2050:2819 3074:3843 4098:4867 5122:5891 6146:6915 7170:7939 8194:8963 9218:9987 10242:11011 11266:12035 12290:13059 13314:14083 14338:15107 15362:16131" s="35" customFormat="1" x14ac:dyDescent="0.3">
      <c r="A2272" s="36"/>
      <c r="B2272" s="46"/>
      <c r="C2272" s="48" t="s">
        <v>15</v>
      </c>
      <c r="D2272" s="39"/>
      <c r="E2272" s="44"/>
      <c r="F2272" s="40"/>
      <c r="G2272" s="40">
        <f t="shared" si="30"/>
        <v>0</v>
      </c>
      <c r="H2272" s="45"/>
    </row>
    <row r="2273" spans="1:771 1026:1795 2050:2819 3074:3843 4098:4867 5122:5891 6146:6915 7170:7939 8194:8963 9218:9987 10242:11011 11266:12035 12290:13059 13314:14083 14338:15107 15362:16131" s="35" customFormat="1" ht="41.4" x14ac:dyDescent="0.3">
      <c r="A2273" s="36"/>
      <c r="B2273" s="46"/>
      <c r="C2273" s="48" t="s">
        <v>1737</v>
      </c>
      <c r="D2273" s="39" t="s">
        <v>13</v>
      </c>
      <c r="E2273" s="44">
        <f>1/2*(2.012*4)</f>
        <v>4.024</v>
      </c>
      <c r="F2273" s="40">
        <f>4594000*40%</f>
        <v>1837600</v>
      </c>
      <c r="G2273" s="40">
        <f t="shared" si="30"/>
        <v>7394502.4000000004</v>
      </c>
      <c r="H2273" s="45" t="s">
        <v>2565</v>
      </c>
    </row>
    <row r="2274" spans="1:771 1026:1795 2050:2819 3074:3843 4098:4867 5122:5891 6146:6915 7170:7939 8194:8963 9218:9987 10242:11011 11266:12035 12290:13059 13314:14083 14338:15107 15362:16131" s="35" customFormat="1" ht="78" x14ac:dyDescent="0.3">
      <c r="A2274" s="36"/>
      <c r="B2274" s="46"/>
      <c r="C2274" s="48" t="s">
        <v>1738</v>
      </c>
      <c r="D2274" s="39"/>
      <c r="E2274" s="44"/>
      <c r="F2274" s="49"/>
      <c r="G2274" s="40">
        <f t="shared" si="30"/>
        <v>0</v>
      </c>
      <c r="H2274" s="42"/>
    </row>
    <row r="2275" spans="1:771 1026:1795 2050:2819 3074:3843 4098:4867 5122:5891 6146:6915 7170:7939 8194:8963 9218:9987 10242:11011 11266:12035 12290:13059 13314:14083 14338:15107 15362:16131" s="35" customFormat="1" x14ac:dyDescent="0.3">
      <c r="A2275" s="36"/>
      <c r="B2275" s="46"/>
      <c r="C2275" s="50" t="s">
        <v>15</v>
      </c>
      <c r="D2275" s="39"/>
      <c r="E2275" s="44"/>
      <c r="F2275" s="40"/>
      <c r="G2275" s="40">
        <f t="shared" si="30"/>
        <v>0</v>
      </c>
      <c r="H2275" s="42"/>
    </row>
    <row r="2276" spans="1:771 1026:1795 2050:2819 3074:3843 4098:4867 5122:5891 6146:6915 7170:7939 8194:8963 9218:9987 10242:11011 11266:12035 12290:13059 13314:14083 14338:15107 15362:16131" s="35" customFormat="1" ht="41.4" x14ac:dyDescent="0.3">
      <c r="A2276" s="36"/>
      <c r="B2276" s="46"/>
      <c r="C2276" s="48" t="s">
        <v>1739</v>
      </c>
      <c r="D2276" s="39" t="s">
        <v>13</v>
      </c>
      <c r="E2276" s="44">
        <f>(0.68+0.02)*4*0.5</f>
        <v>1.4000000000000001</v>
      </c>
      <c r="F2276" s="49">
        <f>789000*40%</f>
        <v>315600</v>
      </c>
      <c r="G2276" s="40">
        <f t="shared" si="30"/>
        <v>441840.00000000006</v>
      </c>
      <c r="H2276" s="45" t="s">
        <v>2566</v>
      </c>
    </row>
    <row r="2277" spans="1:771 1026:1795 2050:2819 3074:3843 4098:4867 5122:5891 6146:6915 7170:7939 8194:8963 9218:9987 10242:11011 11266:12035 12290:13059 13314:14083 14338:15107 15362:16131" s="35" customFormat="1" x14ac:dyDescent="0.3">
      <c r="A2277" s="36"/>
      <c r="B2277" s="46"/>
      <c r="C2277" s="51" t="s">
        <v>23</v>
      </c>
      <c r="D2277" s="39"/>
      <c r="E2277" s="1"/>
      <c r="F2277" s="2"/>
      <c r="G2277" s="41">
        <f>SUM(G2278)</f>
        <v>3060000</v>
      </c>
      <c r="H2277" s="52"/>
    </row>
    <row r="2278" spans="1:771 1026:1795 2050:2819 3074:3843 4098:4867 5122:5891 6146:6915 7170:7939 8194:8963 9218:9987 10242:11011 11266:12035 12290:13059 13314:14083 14338:15107 15362:16131" s="35" customFormat="1" x14ac:dyDescent="0.3">
      <c r="A2278" s="36"/>
      <c r="B2278" s="46"/>
      <c r="C2278" s="50" t="s">
        <v>24</v>
      </c>
      <c r="D2278" s="39" t="s">
        <v>25</v>
      </c>
      <c r="E2278" s="1">
        <f>1*30*6</f>
        <v>180</v>
      </c>
      <c r="F2278" s="2">
        <v>17000</v>
      </c>
      <c r="G2278" s="40">
        <f>E2278*F2278</f>
        <v>3060000</v>
      </c>
      <c r="H2278" s="42"/>
    </row>
    <row r="2279" spans="1:771 1026:1795 2050:2819 3074:3843 4098:4867 5122:5891 6146:6915 7170:7939 8194:8963 9218:9987 10242:11011 11266:12035 12290:13059 13314:14083 14338:15107 15362:16131" s="35" customFormat="1" ht="65.400000000000006" thickBot="1" x14ac:dyDescent="0.35">
      <c r="A2279" s="53"/>
      <c r="B2279" s="54"/>
      <c r="C2279" s="55" t="s">
        <v>2331</v>
      </c>
      <c r="D2279" s="56"/>
      <c r="E2279" s="5"/>
      <c r="F2279" s="6"/>
      <c r="G2279" s="57"/>
      <c r="H2279" s="58"/>
    </row>
    <row r="2280" spans="1:771 1026:1795 2050:2819 3074:3843 4098:4867 5122:5891 6146:6915 7170:7939 8194:8963 9218:9987 10242:11011 11266:12035 12290:13059 13314:14083 14338:15107 15362:16131" s="59" customFormat="1" ht="31.8" thickBot="1" x14ac:dyDescent="0.35">
      <c r="A2280" s="154"/>
      <c r="B2280" s="155" t="s">
        <v>26</v>
      </c>
      <c r="C2280" s="156"/>
      <c r="D2280" s="154"/>
      <c r="E2280" s="157"/>
      <c r="F2280" s="158"/>
      <c r="G2280" s="159">
        <f>SUM(G2267:G2279)/2</f>
        <v>96209142.400000006</v>
      </c>
      <c r="H2280" s="160"/>
      <c r="IX2280" s="35"/>
      <c r="IY2280" s="35"/>
      <c r="ST2280" s="35"/>
      <c r="SU2280" s="35"/>
      <c r="ACP2280" s="35"/>
      <c r="ACQ2280" s="35"/>
      <c r="AML2280" s="35"/>
      <c r="AMM2280" s="35"/>
      <c r="AWH2280" s="35"/>
      <c r="AWI2280" s="35"/>
      <c r="BGD2280" s="35"/>
      <c r="BGE2280" s="35"/>
      <c r="BPZ2280" s="35"/>
      <c r="BQA2280" s="35"/>
      <c r="BZV2280" s="35"/>
      <c r="BZW2280" s="35"/>
      <c r="CJR2280" s="35"/>
      <c r="CJS2280" s="35"/>
      <c r="CTN2280" s="35"/>
      <c r="CTO2280" s="35"/>
      <c r="DDJ2280" s="35"/>
      <c r="DDK2280" s="35"/>
      <c r="DNF2280" s="35"/>
      <c r="DNG2280" s="35"/>
      <c r="DXB2280" s="35"/>
      <c r="DXC2280" s="35"/>
      <c r="EGX2280" s="35"/>
      <c r="EGY2280" s="35"/>
      <c r="EQT2280" s="35"/>
      <c r="EQU2280" s="35"/>
      <c r="FAP2280" s="35"/>
      <c r="FAQ2280" s="35"/>
      <c r="FKL2280" s="35"/>
      <c r="FKM2280" s="35"/>
      <c r="FUH2280" s="35"/>
      <c r="FUI2280" s="35"/>
      <c r="GED2280" s="35"/>
      <c r="GEE2280" s="35"/>
      <c r="GNZ2280" s="35"/>
      <c r="GOA2280" s="35"/>
      <c r="GXV2280" s="35"/>
      <c r="GXW2280" s="35"/>
      <c r="HHR2280" s="35"/>
      <c r="HHS2280" s="35"/>
      <c r="HRN2280" s="35"/>
      <c r="HRO2280" s="35"/>
      <c r="IBJ2280" s="35"/>
      <c r="IBK2280" s="35"/>
      <c r="ILF2280" s="35"/>
      <c r="ILG2280" s="35"/>
      <c r="IVB2280" s="35"/>
      <c r="IVC2280" s="35"/>
      <c r="JEX2280" s="35"/>
      <c r="JEY2280" s="35"/>
      <c r="JOT2280" s="35"/>
      <c r="JOU2280" s="35"/>
      <c r="JYP2280" s="35"/>
      <c r="JYQ2280" s="35"/>
      <c r="KIL2280" s="35"/>
      <c r="KIM2280" s="35"/>
      <c r="KSH2280" s="35"/>
      <c r="KSI2280" s="35"/>
      <c r="LCD2280" s="35"/>
      <c r="LCE2280" s="35"/>
      <c r="LLZ2280" s="35"/>
      <c r="LMA2280" s="35"/>
      <c r="LVV2280" s="35"/>
      <c r="LVW2280" s="35"/>
      <c r="MFR2280" s="35"/>
      <c r="MFS2280" s="35"/>
      <c r="MPN2280" s="35"/>
      <c r="MPO2280" s="35"/>
      <c r="MZJ2280" s="35"/>
      <c r="MZK2280" s="35"/>
      <c r="NJF2280" s="35"/>
      <c r="NJG2280" s="35"/>
      <c r="NTB2280" s="35"/>
      <c r="NTC2280" s="35"/>
      <c r="OCX2280" s="35"/>
      <c r="OCY2280" s="35"/>
      <c r="OMT2280" s="35"/>
      <c r="OMU2280" s="35"/>
      <c r="OWP2280" s="35"/>
      <c r="OWQ2280" s="35"/>
      <c r="PGL2280" s="35"/>
      <c r="PGM2280" s="35"/>
      <c r="PQH2280" s="35"/>
      <c r="PQI2280" s="35"/>
      <c r="QAD2280" s="35"/>
      <c r="QAE2280" s="35"/>
      <c r="QJZ2280" s="35"/>
      <c r="QKA2280" s="35"/>
      <c r="QTV2280" s="35"/>
      <c r="QTW2280" s="35"/>
      <c r="RDR2280" s="35"/>
      <c r="RDS2280" s="35"/>
      <c r="RNN2280" s="35"/>
      <c r="RNO2280" s="35"/>
      <c r="RXJ2280" s="35"/>
      <c r="RXK2280" s="35"/>
      <c r="SHF2280" s="35"/>
      <c r="SHG2280" s="35"/>
      <c r="SRB2280" s="35"/>
      <c r="SRC2280" s="35"/>
      <c r="TAX2280" s="35"/>
      <c r="TAY2280" s="35"/>
      <c r="TKT2280" s="35"/>
      <c r="TKU2280" s="35"/>
      <c r="TUP2280" s="35"/>
      <c r="TUQ2280" s="35"/>
      <c r="UEL2280" s="35"/>
      <c r="UEM2280" s="35"/>
      <c r="UOH2280" s="35"/>
      <c r="UOI2280" s="35"/>
      <c r="UYD2280" s="35"/>
      <c r="UYE2280" s="35"/>
      <c r="VHZ2280" s="35"/>
      <c r="VIA2280" s="35"/>
      <c r="VRV2280" s="35"/>
      <c r="VRW2280" s="35"/>
      <c r="WBR2280" s="35"/>
      <c r="WBS2280" s="35"/>
      <c r="WLN2280" s="35"/>
      <c r="WLO2280" s="35"/>
      <c r="WVJ2280" s="35"/>
      <c r="WVK2280" s="35"/>
    </row>
    <row r="2281" spans="1:771 1026:1795 2050:2819 3074:3843 4098:4867 5122:5891 6146:6915 7170:7939 8194:8963 9218:9987 10242:11011 11266:12035 12290:13059 13314:14083 14338:15107 15362:16131" s="35" customFormat="1" ht="55.2" x14ac:dyDescent="0.3">
      <c r="A2281" s="28">
        <v>215</v>
      </c>
      <c r="B2281" s="29" t="s">
        <v>2325</v>
      </c>
      <c r="C2281" s="30" t="s">
        <v>1741</v>
      </c>
      <c r="D2281" s="31" t="s">
        <v>13</v>
      </c>
      <c r="E2281" s="32">
        <v>10.4</v>
      </c>
      <c r="F2281" s="33"/>
      <c r="G2281" s="33"/>
      <c r="H2281" s="34" t="s">
        <v>1742</v>
      </c>
    </row>
    <row r="2282" spans="1:771 1026:1795 2050:2819 3074:3843 4098:4867 5122:5891 6146:6915 7170:7939 8194:8963 9218:9987 10242:11011 11266:12035 12290:13059 13314:14083 14338:15107 15362:16131" s="35" customFormat="1" x14ac:dyDescent="0.3">
      <c r="A2282" s="36"/>
      <c r="B2282" s="37" t="s">
        <v>1743</v>
      </c>
      <c r="C2282" s="38" t="s">
        <v>14</v>
      </c>
      <c r="D2282" s="39"/>
      <c r="E2282" s="44"/>
      <c r="F2282" s="40"/>
      <c r="G2282" s="41">
        <f>SUM(G2283)</f>
        <v>202581600</v>
      </c>
      <c r="H2282" s="42"/>
    </row>
    <row r="2283" spans="1:771 1026:1795 2050:2819 3074:3843 4098:4867 5122:5891 6146:6915 7170:7939 8194:8963 9218:9987 10242:11011 11266:12035 12290:13059 13314:14083 14338:15107 15362:16131" s="35" customFormat="1" ht="18.600000000000001" x14ac:dyDescent="0.3">
      <c r="A2283" s="36"/>
      <c r="B2283" s="37" t="s">
        <v>1744</v>
      </c>
      <c r="C2283" s="48" t="s">
        <v>38</v>
      </c>
      <c r="D2283" s="39" t="s">
        <v>13</v>
      </c>
      <c r="E2283" s="44">
        <v>10.4</v>
      </c>
      <c r="F2283" s="161">
        <v>19479000</v>
      </c>
      <c r="G2283" s="40">
        <f>E2283*F2283</f>
        <v>202581600</v>
      </c>
      <c r="H2283" s="42"/>
    </row>
    <row r="2284" spans="1:771 1026:1795 2050:2819 3074:3843 4098:4867 5122:5891 6146:6915 7170:7939 8194:8963 9218:9987 10242:11011 11266:12035 12290:13059 13314:14083 14338:15107 15362:16131" s="35" customFormat="1" ht="78" x14ac:dyDescent="0.3">
      <c r="A2284" s="36"/>
      <c r="B2284" s="46" t="s">
        <v>1745</v>
      </c>
      <c r="C2284" s="47" t="s">
        <v>35</v>
      </c>
      <c r="D2284" s="39"/>
      <c r="E2284" s="44"/>
      <c r="F2284" s="40"/>
      <c r="G2284" s="41">
        <f>SUM(G2285:G2290)</f>
        <v>37857350</v>
      </c>
      <c r="H2284" s="45"/>
    </row>
    <row r="2285" spans="1:771 1026:1795 2050:2819 3074:3843 4098:4867 5122:5891 6146:6915 7170:7939 8194:8963 9218:9987 10242:11011 11266:12035 12290:13059 13314:14083 14338:15107 15362:16131" s="35" customFormat="1" ht="78" x14ac:dyDescent="0.3">
      <c r="A2285" s="36"/>
      <c r="B2285" s="50" t="s">
        <v>1746</v>
      </c>
      <c r="C2285" s="47" t="s">
        <v>1747</v>
      </c>
      <c r="D2285" s="39"/>
      <c r="E2285" s="44"/>
      <c r="F2285" s="40"/>
      <c r="G2285" s="40">
        <f t="shared" ref="G2285:G2290" si="31">E2285*F2285</f>
        <v>0</v>
      </c>
      <c r="H2285" s="45"/>
    </row>
    <row r="2286" spans="1:771 1026:1795 2050:2819 3074:3843 4098:4867 5122:5891 6146:6915 7170:7939 8194:8963 9218:9987 10242:11011 11266:12035 12290:13059 13314:14083 14338:15107 15362:16131" s="35" customFormat="1" x14ac:dyDescent="0.3">
      <c r="A2286" s="36"/>
      <c r="B2286" s="46"/>
      <c r="C2286" s="48" t="s">
        <v>15</v>
      </c>
      <c r="D2286" s="39"/>
      <c r="E2286" s="44"/>
      <c r="F2286" s="40"/>
      <c r="G2286" s="40">
        <f t="shared" si="31"/>
        <v>0</v>
      </c>
      <c r="H2286" s="45"/>
    </row>
    <row r="2287" spans="1:771 1026:1795 2050:2819 3074:3843 4098:4867 5122:5891 6146:6915 7170:7939 8194:8963 9218:9987 10242:11011 11266:12035 12290:13059 13314:14083 14338:15107 15362:16131" s="35" customFormat="1" ht="41.4" x14ac:dyDescent="0.3">
      <c r="A2287" s="36"/>
      <c r="B2287" s="46"/>
      <c r="C2287" s="48" t="s">
        <v>1737</v>
      </c>
      <c r="D2287" s="39" t="s">
        <v>13</v>
      </c>
      <c r="E2287" s="44">
        <f>1/2*(1.05*3)</f>
        <v>1.5750000000000002</v>
      </c>
      <c r="F2287" s="40">
        <v>4594000</v>
      </c>
      <c r="G2287" s="40">
        <f t="shared" si="31"/>
        <v>7235550.0000000009</v>
      </c>
      <c r="H2287" s="45" t="s">
        <v>2567</v>
      </c>
    </row>
    <row r="2288" spans="1:771 1026:1795 2050:2819 3074:3843 4098:4867 5122:5891 6146:6915 7170:7939 8194:8963 9218:9987 10242:11011 11266:12035 12290:13059 13314:14083 14338:15107 15362:16131" s="35" customFormat="1" ht="78" x14ac:dyDescent="0.3">
      <c r="A2288" s="36"/>
      <c r="B2288" s="46"/>
      <c r="C2288" s="47" t="s">
        <v>1749</v>
      </c>
      <c r="D2288" s="39"/>
      <c r="E2288" s="44"/>
      <c r="F2288" s="40"/>
      <c r="G2288" s="40">
        <f t="shared" si="31"/>
        <v>0</v>
      </c>
      <c r="H2288" s="45"/>
    </row>
    <row r="2289" spans="1:771 1026:1795 2050:2819 3074:3843 4098:4867 5122:5891 6146:6915 7170:7939 8194:8963 9218:9987 10242:11011 11266:12035 12290:13059 13314:14083 14338:15107 15362:16131" s="35" customFormat="1" x14ac:dyDescent="0.3">
      <c r="A2289" s="36"/>
      <c r="B2289" s="46"/>
      <c r="C2289" s="48" t="s">
        <v>15</v>
      </c>
      <c r="D2289" s="39"/>
      <c r="E2289" s="44"/>
      <c r="F2289" s="40"/>
      <c r="G2289" s="40">
        <f t="shared" si="31"/>
        <v>0</v>
      </c>
      <c r="H2289" s="45"/>
    </row>
    <row r="2290" spans="1:771 1026:1795 2050:2819 3074:3843 4098:4867 5122:5891 6146:6915 7170:7939 8194:8963 9218:9987 10242:11011 11266:12035 12290:13059 13314:14083 14338:15107 15362:16131" s="35" customFormat="1" ht="31.2" x14ac:dyDescent="0.3">
      <c r="A2290" s="36"/>
      <c r="B2290" s="46"/>
      <c r="C2290" s="48" t="s">
        <v>1737</v>
      </c>
      <c r="D2290" s="39" t="s">
        <v>13</v>
      </c>
      <c r="E2290" s="44">
        <f>(1.03+2.58)*5*0.5-(0.5*2*0.5)</f>
        <v>8.5250000000000004</v>
      </c>
      <c r="F2290" s="40">
        <v>3592000</v>
      </c>
      <c r="G2290" s="40">
        <f t="shared" si="31"/>
        <v>30621800</v>
      </c>
      <c r="H2290" s="45" t="s">
        <v>2375</v>
      </c>
    </row>
    <row r="2291" spans="1:771 1026:1795 2050:2819 3074:3843 4098:4867 5122:5891 6146:6915 7170:7939 8194:8963 9218:9987 10242:11011 11266:12035 12290:13059 13314:14083 14338:15107 15362:16131" s="35" customFormat="1" ht="65.400000000000006" thickBot="1" x14ac:dyDescent="0.35">
      <c r="A2291" s="53"/>
      <c r="B2291" s="54"/>
      <c r="C2291" s="55" t="s">
        <v>2331</v>
      </c>
      <c r="D2291" s="56"/>
      <c r="E2291" s="5"/>
      <c r="F2291" s="6"/>
      <c r="G2291" s="57"/>
      <c r="H2291" s="58"/>
    </row>
    <row r="2292" spans="1:771 1026:1795 2050:2819 3074:3843 4098:4867 5122:5891 6146:6915 7170:7939 8194:8963 9218:9987 10242:11011 11266:12035 12290:13059 13314:14083 14338:15107 15362:16131" s="59" customFormat="1" ht="31.8" thickBot="1" x14ac:dyDescent="0.35">
      <c r="A2292" s="154"/>
      <c r="B2292" s="155" t="s">
        <v>26</v>
      </c>
      <c r="C2292" s="156"/>
      <c r="D2292" s="154"/>
      <c r="E2292" s="157"/>
      <c r="F2292" s="158"/>
      <c r="G2292" s="159">
        <f>SUM(G2281:G2291)/2</f>
        <v>240438950</v>
      </c>
      <c r="H2292" s="160"/>
      <c r="IX2292" s="35"/>
      <c r="IY2292" s="35"/>
      <c r="ST2292" s="35"/>
      <c r="SU2292" s="35"/>
      <c r="ACP2292" s="35"/>
      <c r="ACQ2292" s="35"/>
      <c r="AML2292" s="35"/>
      <c r="AMM2292" s="35"/>
      <c r="AWH2292" s="35"/>
      <c r="AWI2292" s="35"/>
      <c r="BGD2292" s="35"/>
      <c r="BGE2292" s="35"/>
      <c r="BPZ2292" s="35"/>
      <c r="BQA2292" s="35"/>
      <c r="BZV2292" s="35"/>
      <c r="BZW2292" s="35"/>
      <c r="CJR2292" s="35"/>
      <c r="CJS2292" s="35"/>
      <c r="CTN2292" s="35"/>
      <c r="CTO2292" s="35"/>
      <c r="DDJ2292" s="35"/>
      <c r="DDK2292" s="35"/>
      <c r="DNF2292" s="35"/>
      <c r="DNG2292" s="35"/>
      <c r="DXB2292" s="35"/>
      <c r="DXC2292" s="35"/>
      <c r="EGX2292" s="35"/>
      <c r="EGY2292" s="35"/>
      <c r="EQT2292" s="35"/>
      <c r="EQU2292" s="35"/>
      <c r="FAP2292" s="35"/>
      <c r="FAQ2292" s="35"/>
      <c r="FKL2292" s="35"/>
      <c r="FKM2292" s="35"/>
      <c r="FUH2292" s="35"/>
      <c r="FUI2292" s="35"/>
      <c r="GED2292" s="35"/>
      <c r="GEE2292" s="35"/>
      <c r="GNZ2292" s="35"/>
      <c r="GOA2292" s="35"/>
      <c r="GXV2292" s="35"/>
      <c r="GXW2292" s="35"/>
      <c r="HHR2292" s="35"/>
      <c r="HHS2292" s="35"/>
      <c r="HRN2292" s="35"/>
      <c r="HRO2292" s="35"/>
      <c r="IBJ2292" s="35"/>
      <c r="IBK2292" s="35"/>
      <c r="ILF2292" s="35"/>
      <c r="ILG2292" s="35"/>
      <c r="IVB2292" s="35"/>
      <c r="IVC2292" s="35"/>
      <c r="JEX2292" s="35"/>
      <c r="JEY2292" s="35"/>
      <c r="JOT2292" s="35"/>
      <c r="JOU2292" s="35"/>
      <c r="JYP2292" s="35"/>
      <c r="JYQ2292" s="35"/>
      <c r="KIL2292" s="35"/>
      <c r="KIM2292" s="35"/>
      <c r="KSH2292" s="35"/>
      <c r="KSI2292" s="35"/>
      <c r="LCD2292" s="35"/>
      <c r="LCE2292" s="35"/>
      <c r="LLZ2292" s="35"/>
      <c r="LMA2292" s="35"/>
      <c r="LVV2292" s="35"/>
      <c r="LVW2292" s="35"/>
      <c r="MFR2292" s="35"/>
      <c r="MFS2292" s="35"/>
      <c r="MPN2292" s="35"/>
      <c r="MPO2292" s="35"/>
      <c r="MZJ2292" s="35"/>
      <c r="MZK2292" s="35"/>
      <c r="NJF2292" s="35"/>
      <c r="NJG2292" s="35"/>
      <c r="NTB2292" s="35"/>
      <c r="NTC2292" s="35"/>
      <c r="OCX2292" s="35"/>
      <c r="OCY2292" s="35"/>
      <c r="OMT2292" s="35"/>
      <c r="OMU2292" s="35"/>
      <c r="OWP2292" s="35"/>
      <c r="OWQ2292" s="35"/>
      <c r="PGL2292" s="35"/>
      <c r="PGM2292" s="35"/>
      <c r="PQH2292" s="35"/>
      <c r="PQI2292" s="35"/>
      <c r="QAD2292" s="35"/>
      <c r="QAE2292" s="35"/>
      <c r="QJZ2292" s="35"/>
      <c r="QKA2292" s="35"/>
      <c r="QTV2292" s="35"/>
      <c r="QTW2292" s="35"/>
      <c r="RDR2292" s="35"/>
      <c r="RDS2292" s="35"/>
      <c r="RNN2292" s="35"/>
      <c r="RNO2292" s="35"/>
      <c r="RXJ2292" s="35"/>
      <c r="RXK2292" s="35"/>
      <c r="SHF2292" s="35"/>
      <c r="SHG2292" s="35"/>
      <c r="SRB2292" s="35"/>
      <c r="SRC2292" s="35"/>
      <c r="TAX2292" s="35"/>
      <c r="TAY2292" s="35"/>
      <c r="TKT2292" s="35"/>
      <c r="TKU2292" s="35"/>
      <c r="TUP2292" s="35"/>
      <c r="TUQ2292" s="35"/>
      <c r="UEL2292" s="35"/>
      <c r="UEM2292" s="35"/>
      <c r="UOH2292" s="35"/>
      <c r="UOI2292" s="35"/>
      <c r="UYD2292" s="35"/>
      <c r="UYE2292" s="35"/>
      <c r="VHZ2292" s="35"/>
      <c r="VIA2292" s="35"/>
      <c r="VRV2292" s="35"/>
      <c r="VRW2292" s="35"/>
      <c r="WBR2292" s="35"/>
      <c r="WBS2292" s="35"/>
      <c r="WLN2292" s="35"/>
      <c r="WLO2292" s="35"/>
      <c r="WVJ2292" s="35"/>
      <c r="WVK2292" s="35"/>
    </row>
    <row r="2293" spans="1:771 1026:1795 2050:2819 3074:3843 4098:4867 5122:5891 6146:6915 7170:7939 8194:8963 9218:9987 10242:11011 11266:12035 12290:13059 13314:14083 14338:15107 15362:16131" s="35" customFormat="1" ht="69" x14ac:dyDescent="0.3">
      <c r="A2293" s="28">
        <v>216</v>
      </c>
      <c r="B2293" s="29" t="s">
        <v>2327</v>
      </c>
      <c r="C2293" s="30" t="s">
        <v>1750</v>
      </c>
      <c r="D2293" s="31" t="s">
        <v>13</v>
      </c>
      <c r="E2293" s="32">
        <v>12.6</v>
      </c>
      <c r="F2293" s="33"/>
      <c r="G2293" s="33"/>
      <c r="H2293" s="34" t="s">
        <v>1751</v>
      </c>
    </row>
    <row r="2294" spans="1:771 1026:1795 2050:2819 3074:3843 4098:4867 5122:5891 6146:6915 7170:7939 8194:8963 9218:9987 10242:11011 11266:12035 12290:13059 13314:14083 14338:15107 15362:16131" s="35" customFormat="1" ht="31.2" x14ac:dyDescent="0.3">
      <c r="A2294" s="36"/>
      <c r="B2294" s="64" t="s">
        <v>2326</v>
      </c>
      <c r="C2294" s="38" t="s">
        <v>14</v>
      </c>
      <c r="D2294" s="39"/>
      <c r="E2294" s="44"/>
      <c r="F2294" s="40"/>
      <c r="G2294" s="41">
        <f>SUM(G2295)</f>
        <v>245435400</v>
      </c>
      <c r="H2294" s="42"/>
    </row>
    <row r="2295" spans="1:771 1026:1795 2050:2819 3074:3843 4098:4867 5122:5891 6146:6915 7170:7939 8194:8963 9218:9987 10242:11011 11266:12035 12290:13059 13314:14083 14338:15107 15362:16131" s="35" customFormat="1" ht="18.600000000000001" x14ac:dyDescent="0.3">
      <c r="A2295" s="36"/>
      <c r="B2295" s="37" t="s">
        <v>1752</v>
      </c>
      <c r="C2295" s="48" t="s">
        <v>38</v>
      </c>
      <c r="D2295" s="39" t="s">
        <v>13</v>
      </c>
      <c r="E2295" s="44">
        <v>12.6</v>
      </c>
      <c r="F2295" s="161">
        <v>19479000</v>
      </c>
      <c r="G2295" s="40">
        <f>E2295*F2295</f>
        <v>245435400</v>
      </c>
      <c r="H2295" s="42"/>
    </row>
    <row r="2296" spans="1:771 1026:1795 2050:2819 3074:3843 4098:4867 5122:5891 6146:6915 7170:7939 8194:8963 9218:9987 10242:11011 11266:12035 12290:13059 13314:14083 14338:15107 15362:16131" s="35" customFormat="1" ht="78" x14ac:dyDescent="0.3">
      <c r="A2296" s="36"/>
      <c r="B2296" s="46" t="s">
        <v>1753</v>
      </c>
      <c r="C2296" s="47" t="s">
        <v>35</v>
      </c>
      <c r="D2296" s="39"/>
      <c r="E2296" s="44"/>
      <c r="F2296" s="40"/>
      <c r="G2296" s="41">
        <f>SUM(G2297:G2299)</f>
        <v>6696000</v>
      </c>
      <c r="H2296" s="45"/>
    </row>
    <row r="2297" spans="1:771 1026:1795 2050:2819 3074:3843 4098:4867 5122:5891 6146:6915 7170:7939 8194:8963 9218:9987 10242:11011 11266:12035 12290:13059 13314:14083 14338:15107 15362:16131" s="35" customFormat="1" ht="62.4" x14ac:dyDescent="0.3">
      <c r="A2297" s="36"/>
      <c r="B2297" s="50" t="s">
        <v>1754</v>
      </c>
      <c r="C2297" s="48" t="s">
        <v>1755</v>
      </c>
      <c r="D2297" s="39" t="s">
        <v>13</v>
      </c>
      <c r="E2297" s="44"/>
      <c r="F2297" s="40"/>
      <c r="G2297" s="40">
        <f>E2297*F2297</f>
        <v>0</v>
      </c>
      <c r="H2297" s="52"/>
    </row>
    <row r="2298" spans="1:771 1026:1795 2050:2819 3074:3843 4098:4867 5122:5891 6146:6915 7170:7939 8194:8963 9218:9987 10242:11011 11266:12035 12290:13059 13314:14083 14338:15107 15362:16131" s="35" customFormat="1" x14ac:dyDescent="0.3">
      <c r="A2298" s="36"/>
      <c r="B2298" s="46"/>
      <c r="C2298" s="50" t="s">
        <v>15</v>
      </c>
      <c r="D2298" s="39"/>
      <c r="E2298" s="44"/>
      <c r="F2298" s="40"/>
      <c r="G2298" s="40">
        <f>E2298*F2298</f>
        <v>0</v>
      </c>
      <c r="H2298" s="52"/>
    </row>
    <row r="2299" spans="1:771 1026:1795 2050:2819 3074:3843 4098:4867 5122:5891 6146:6915 7170:7939 8194:8963 9218:9987 10242:11011 11266:12035 12290:13059 13314:14083 14338:15107 15362:16131" s="35" customFormat="1" ht="55.2" x14ac:dyDescent="0.3">
      <c r="A2299" s="36"/>
      <c r="B2299" s="46"/>
      <c r="C2299" s="48" t="s">
        <v>2568</v>
      </c>
      <c r="D2299" s="39" t="s">
        <v>13</v>
      </c>
      <c r="E2299" s="44">
        <f>2*6.2</f>
        <v>12.4</v>
      </c>
      <c r="F2299" s="40">
        <v>540000</v>
      </c>
      <c r="G2299" s="40">
        <f>E2299*F2299</f>
        <v>6696000</v>
      </c>
      <c r="H2299" s="42" t="s">
        <v>2569</v>
      </c>
    </row>
    <row r="2300" spans="1:771 1026:1795 2050:2819 3074:3843 4098:4867 5122:5891 6146:6915 7170:7939 8194:8963 9218:9987 10242:11011 11266:12035 12290:13059 13314:14083 14338:15107 15362:16131" s="35" customFormat="1" ht="65.400000000000006" thickBot="1" x14ac:dyDescent="0.35">
      <c r="A2300" s="53"/>
      <c r="B2300" s="54"/>
      <c r="C2300" s="55" t="s">
        <v>2331</v>
      </c>
      <c r="D2300" s="56"/>
      <c r="E2300" s="5"/>
      <c r="F2300" s="6"/>
      <c r="G2300" s="57"/>
      <c r="H2300" s="58"/>
    </row>
    <row r="2301" spans="1:771 1026:1795 2050:2819 3074:3843 4098:4867 5122:5891 6146:6915 7170:7939 8194:8963 9218:9987 10242:11011 11266:12035 12290:13059 13314:14083 14338:15107 15362:16131" s="59" customFormat="1" ht="31.8" thickBot="1" x14ac:dyDescent="0.35">
      <c r="A2301" s="154"/>
      <c r="B2301" s="155" t="s">
        <v>26</v>
      </c>
      <c r="C2301" s="156"/>
      <c r="D2301" s="154"/>
      <c r="E2301" s="157"/>
      <c r="F2301" s="158"/>
      <c r="G2301" s="159">
        <f>SUM(G2293:G2300)/2</f>
        <v>252131400</v>
      </c>
      <c r="H2301" s="160"/>
      <c r="IX2301" s="35"/>
      <c r="IY2301" s="35"/>
      <c r="ST2301" s="35"/>
      <c r="SU2301" s="35"/>
      <c r="ACP2301" s="35"/>
      <c r="ACQ2301" s="35"/>
      <c r="AML2301" s="35"/>
      <c r="AMM2301" s="35"/>
      <c r="AWH2301" s="35"/>
      <c r="AWI2301" s="35"/>
      <c r="BGD2301" s="35"/>
      <c r="BGE2301" s="35"/>
      <c r="BPZ2301" s="35"/>
      <c r="BQA2301" s="35"/>
      <c r="BZV2301" s="35"/>
      <c r="BZW2301" s="35"/>
      <c r="CJR2301" s="35"/>
      <c r="CJS2301" s="35"/>
      <c r="CTN2301" s="35"/>
      <c r="CTO2301" s="35"/>
      <c r="DDJ2301" s="35"/>
      <c r="DDK2301" s="35"/>
      <c r="DNF2301" s="35"/>
      <c r="DNG2301" s="35"/>
      <c r="DXB2301" s="35"/>
      <c r="DXC2301" s="35"/>
      <c r="EGX2301" s="35"/>
      <c r="EGY2301" s="35"/>
      <c r="EQT2301" s="35"/>
      <c r="EQU2301" s="35"/>
      <c r="FAP2301" s="35"/>
      <c r="FAQ2301" s="35"/>
      <c r="FKL2301" s="35"/>
      <c r="FKM2301" s="35"/>
      <c r="FUH2301" s="35"/>
      <c r="FUI2301" s="35"/>
      <c r="GED2301" s="35"/>
      <c r="GEE2301" s="35"/>
      <c r="GNZ2301" s="35"/>
      <c r="GOA2301" s="35"/>
      <c r="GXV2301" s="35"/>
      <c r="GXW2301" s="35"/>
      <c r="HHR2301" s="35"/>
      <c r="HHS2301" s="35"/>
      <c r="HRN2301" s="35"/>
      <c r="HRO2301" s="35"/>
      <c r="IBJ2301" s="35"/>
      <c r="IBK2301" s="35"/>
      <c r="ILF2301" s="35"/>
      <c r="ILG2301" s="35"/>
      <c r="IVB2301" s="35"/>
      <c r="IVC2301" s="35"/>
      <c r="JEX2301" s="35"/>
      <c r="JEY2301" s="35"/>
      <c r="JOT2301" s="35"/>
      <c r="JOU2301" s="35"/>
      <c r="JYP2301" s="35"/>
      <c r="JYQ2301" s="35"/>
      <c r="KIL2301" s="35"/>
      <c r="KIM2301" s="35"/>
      <c r="KSH2301" s="35"/>
      <c r="KSI2301" s="35"/>
      <c r="LCD2301" s="35"/>
      <c r="LCE2301" s="35"/>
      <c r="LLZ2301" s="35"/>
      <c r="LMA2301" s="35"/>
      <c r="LVV2301" s="35"/>
      <c r="LVW2301" s="35"/>
      <c r="MFR2301" s="35"/>
      <c r="MFS2301" s="35"/>
      <c r="MPN2301" s="35"/>
      <c r="MPO2301" s="35"/>
      <c r="MZJ2301" s="35"/>
      <c r="MZK2301" s="35"/>
      <c r="NJF2301" s="35"/>
      <c r="NJG2301" s="35"/>
      <c r="NTB2301" s="35"/>
      <c r="NTC2301" s="35"/>
      <c r="OCX2301" s="35"/>
      <c r="OCY2301" s="35"/>
      <c r="OMT2301" s="35"/>
      <c r="OMU2301" s="35"/>
      <c r="OWP2301" s="35"/>
      <c r="OWQ2301" s="35"/>
      <c r="PGL2301" s="35"/>
      <c r="PGM2301" s="35"/>
      <c r="PQH2301" s="35"/>
      <c r="PQI2301" s="35"/>
      <c r="QAD2301" s="35"/>
      <c r="QAE2301" s="35"/>
      <c r="QJZ2301" s="35"/>
      <c r="QKA2301" s="35"/>
      <c r="QTV2301" s="35"/>
      <c r="QTW2301" s="35"/>
      <c r="RDR2301" s="35"/>
      <c r="RDS2301" s="35"/>
      <c r="RNN2301" s="35"/>
      <c r="RNO2301" s="35"/>
      <c r="RXJ2301" s="35"/>
      <c r="RXK2301" s="35"/>
      <c r="SHF2301" s="35"/>
      <c r="SHG2301" s="35"/>
      <c r="SRB2301" s="35"/>
      <c r="SRC2301" s="35"/>
      <c r="TAX2301" s="35"/>
      <c r="TAY2301" s="35"/>
      <c r="TKT2301" s="35"/>
      <c r="TKU2301" s="35"/>
      <c r="TUP2301" s="35"/>
      <c r="TUQ2301" s="35"/>
      <c r="UEL2301" s="35"/>
      <c r="UEM2301" s="35"/>
      <c r="UOH2301" s="35"/>
      <c r="UOI2301" s="35"/>
      <c r="UYD2301" s="35"/>
      <c r="UYE2301" s="35"/>
      <c r="VHZ2301" s="35"/>
      <c r="VIA2301" s="35"/>
      <c r="VRV2301" s="35"/>
      <c r="VRW2301" s="35"/>
      <c r="WBR2301" s="35"/>
      <c r="WBS2301" s="35"/>
      <c r="WLN2301" s="35"/>
      <c r="WLO2301" s="35"/>
      <c r="WVJ2301" s="35"/>
      <c r="WVK2301" s="35"/>
    </row>
    <row r="2302" spans="1:771 1026:1795 2050:2819 3074:3843 4098:4867 5122:5891 6146:6915 7170:7939 8194:8963 9218:9987 10242:11011 11266:12035 12290:13059 13314:14083 14338:15107 15362:16131" s="35" customFormat="1" ht="55.2" x14ac:dyDescent="0.3">
      <c r="A2302" s="28">
        <v>217</v>
      </c>
      <c r="B2302" s="29" t="s">
        <v>1756</v>
      </c>
      <c r="C2302" s="30" t="s">
        <v>2328</v>
      </c>
      <c r="D2302" s="31" t="s">
        <v>13</v>
      </c>
      <c r="E2302" s="32">
        <v>15.7</v>
      </c>
      <c r="F2302" s="33"/>
      <c r="G2302" s="33"/>
      <c r="H2302" s="34" t="s">
        <v>1757</v>
      </c>
    </row>
    <row r="2303" spans="1:771 1026:1795 2050:2819 3074:3843 4098:4867 5122:5891 6146:6915 7170:7939 8194:8963 9218:9987 10242:11011 11266:12035 12290:13059 13314:14083 14338:15107 15362:16131" s="35" customFormat="1" ht="27.6" x14ac:dyDescent="0.3">
      <c r="A2303" s="36"/>
      <c r="B2303" s="37" t="s">
        <v>1758</v>
      </c>
      <c r="C2303" s="38" t="s">
        <v>14</v>
      </c>
      <c r="D2303" s="39"/>
      <c r="E2303" s="44"/>
      <c r="F2303" s="40"/>
      <c r="G2303" s="41">
        <f>SUM(G2304)</f>
        <v>163342800</v>
      </c>
      <c r="H2303" s="42" t="s">
        <v>1759</v>
      </c>
    </row>
    <row r="2304" spans="1:771 1026:1795 2050:2819 3074:3843 4098:4867 5122:5891 6146:6915 7170:7939 8194:8963 9218:9987 10242:11011 11266:12035 12290:13059 13314:14083 14338:15107 15362:16131" s="35" customFormat="1" ht="31.2" x14ac:dyDescent="0.3">
      <c r="A2304" s="36"/>
      <c r="B2304" s="37" t="s">
        <v>1760</v>
      </c>
      <c r="C2304" s="43" t="s">
        <v>55</v>
      </c>
      <c r="D2304" s="39" t="s">
        <v>13</v>
      </c>
      <c r="E2304" s="44">
        <v>15.7</v>
      </c>
      <c r="F2304" s="161">
        <v>10404000</v>
      </c>
      <c r="G2304" s="40">
        <f>E2304*F2304</f>
        <v>163342800</v>
      </c>
      <c r="H2304" s="42"/>
    </row>
    <row r="2305" spans="1:771 1026:1795 2050:2819 3074:3843 4098:4867 5122:5891 6146:6915 7170:7939 8194:8963 9218:9987 10242:11011 11266:12035 12290:13059 13314:14083 14338:15107 15362:16131" s="35" customFormat="1" ht="78" x14ac:dyDescent="0.3">
      <c r="A2305" s="36"/>
      <c r="B2305" s="46" t="s">
        <v>1761</v>
      </c>
      <c r="C2305" s="51" t="s">
        <v>23</v>
      </c>
      <c r="D2305" s="39"/>
      <c r="E2305" s="1"/>
      <c r="F2305" s="2"/>
      <c r="G2305" s="41">
        <f>SUM(G2306)</f>
        <v>3060000</v>
      </c>
      <c r="H2305" s="52"/>
    </row>
    <row r="2306" spans="1:771 1026:1795 2050:2819 3074:3843 4098:4867 5122:5891 6146:6915 7170:7939 8194:8963 9218:9987 10242:11011 11266:12035 12290:13059 13314:14083 14338:15107 15362:16131" s="35" customFormat="1" x14ac:dyDescent="0.3">
      <c r="A2306" s="36"/>
      <c r="B2306" s="50" t="s">
        <v>1762</v>
      </c>
      <c r="C2306" s="50" t="s">
        <v>24</v>
      </c>
      <c r="D2306" s="39" t="s">
        <v>25</v>
      </c>
      <c r="E2306" s="1">
        <f>1*30*6</f>
        <v>180</v>
      </c>
      <c r="F2306" s="2">
        <v>17000</v>
      </c>
      <c r="G2306" s="40">
        <f>E2306*F2306</f>
        <v>3060000</v>
      </c>
      <c r="H2306" s="42"/>
    </row>
    <row r="2307" spans="1:771 1026:1795 2050:2819 3074:3843 4098:4867 5122:5891 6146:6915 7170:7939 8194:8963 9218:9987 10242:11011 11266:12035 12290:13059 13314:14083 14338:15107 15362:16131" s="35" customFormat="1" ht="65.400000000000006" thickBot="1" x14ac:dyDescent="0.35">
      <c r="A2307" s="53"/>
      <c r="B2307" s="54"/>
      <c r="C2307" s="55" t="s">
        <v>2331</v>
      </c>
      <c r="D2307" s="56"/>
      <c r="E2307" s="5"/>
      <c r="F2307" s="6"/>
      <c r="G2307" s="57"/>
      <c r="H2307" s="58"/>
    </row>
    <row r="2308" spans="1:771 1026:1795 2050:2819 3074:3843 4098:4867 5122:5891 6146:6915 7170:7939 8194:8963 9218:9987 10242:11011 11266:12035 12290:13059 13314:14083 14338:15107 15362:16131" s="59" customFormat="1" ht="31.8" thickBot="1" x14ac:dyDescent="0.35">
      <c r="A2308" s="154"/>
      <c r="B2308" s="155" t="s">
        <v>26</v>
      </c>
      <c r="C2308" s="156"/>
      <c r="D2308" s="154"/>
      <c r="E2308" s="157"/>
      <c r="F2308" s="158"/>
      <c r="G2308" s="159">
        <f>SUM(G2302:G2307)/2</f>
        <v>166402800</v>
      </c>
      <c r="H2308" s="160"/>
      <c r="IX2308" s="35"/>
      <c r="IY2308" s="35"/>
      <c r="ST2308" s="35"/>
      <c r="SU2308" s="35"/>
      <c r="ACP2308" s="35"/>
      <c r="ACQ2308" s="35"/>
      <c r="AML2308" s="35"/>
      <c r="AMM2308" s="35"/>
      <c r="AWH2308" s="35"/>
      <c r="AWI2308" s="35"/>
      <c r="BGD2308" s="35"/>
      <c r="BGE2308" s="35"/>
      <c r="BPZ2308" s="35"/>
      <c r="BQA2308" s="35"/>
      <c r="BZV2308" s="35"/>
      <c r="BZW2308" s="35"/>
      <c r="CJR2308" s="35"/>
      <c r="CJS2308" s="35"/>
      <c r="CTN2308" s="35"/>
      <c r="CTO2308" s="35"/>
      <c r="DDJ2308" s="35"/>
      <c r="DDK2308" s="35"/>
      <c r="DNF2308" s="35"/>
      <c r="DNG2308" s="35"/>
      <c r="DXB2308" s="35"/>
      <c r="DXC2308" s="35"/>
      <c r="EGX2308" s="35"/>
      <c r="EGY2308" s="35"/>
      <c r="EQT2308" s="35"/>
      <c r="EQU2308" s="35"/>
      <c r="FAP2308" s="35"/>
      <c r="FAQ2308" s="35"/>
      <c r="FKL2308" s="35"/>
      <c r="FKM2308" s="35"/>
      <c r="FUH2308" s="35"/>
      <c r="FUI2308" s="35"/>
      <c r="GED2308" s="35"/>
      <c r="GEE2308" s="35"/>
      <c r="GNZ2308" s="35"/>
      <c r="GOA2308" s="35"/>
      <c r="GXV2308" s="35"/>
      <c r="GXW2308" s="35"/>
      <c r="HHR2308" s="35"/>
      <c r="HHS2308" s="35"/>
      <c r="HRN2308" s="35"/>
      <c r="HRO2308" s="35"/>
      <c r="IBJ2308" s="35"/>
      <c r="IBK2308" s="35"/>
      <c r="ILF2308" s="35"/>
      <c r="ILG2308" s="35"/>
      <c r="IVB2308" s="35"/>
      <c r="IVC2308" s="35"/>
      <c r="JEX2308" s="35"/>
      <c r="JEY2308" s="35"/>
      <c r="JOT2308" s="35"/>
      <c r="JOU2308" s="35"/>
      <c r="JYP2308" s="35"/>
      <c r="JYQ2308" s="35"/>
      <c r="KIL2308" s="35"/>
      <c r="KIM2308" s="35"/>
      <c r="KSH2308" s="35"/>
      <c r="KSI2308" s="35"/>
      <c r="LCD2308" s="35"/>
      <c r="LCE2308" s="35"/>
      <c r="LLZ2308" s="35"/>
      <c r="LMA2308" s="35"/>
      <c r="LVV2308" s="35"/>
      <c r="LVW2308" s="35"/>
      <c r="MFR2308" s="35"/>
      <c r="MFS2308" s="35"/>
      <c r="MPN2308" s="35"/>
      <c r="MPO2308" s="35"/>
      <c r="MZJ2308" s="35"/>
      <c r="MZK2308" s="35"/>
      <c r="NJF2308" s="35"/>
      <c r="NJG2308" s="35"/>
      <c r="NTB2308" s="35"/>
      <c r="NTC2308" s="35"/>
      <c r="OCX2308" s="35"/>
      <c r="OCY2308" s="35"/>
      <c r="OMT2308" s="35"/>
      <c r="OMU2308" s="35"/>
      <c r="OWP2308" s="35"/>
      <c r="OWQ2308" s="35"/>
      <c r="PGL2308" s="35"/>
      <c r="PGM2308" s="35"/>
      <c r="PQH2308" s="35"/>
      <c r="PQI2308" s="35"/>
      <c r="QAD2308" s="35"/>
      <c r="QAE2308" s="35"/>
      <c r="QJZ2308" s="35"/>
      <c r="QKA2308" s="35"/>
      <c r="QTV2308" s="35"/>
      <c r="QTW2308" s="35"/>
      <c r="RDR2308" s="35"/>
      <c r="RDS2308" s="35"/>
      <c r="RNN2308" s="35"/>
      <c r="RNO2308" s="35"/>
      <c r="RXJ2308" s="35"/>
      <c r="RXK2308" s="35"/>
      <c r="SHF2308" s="35"/>
      <c r="SHG2308" s="35"/>
      <c r="SRB2308" s="35"/>
      <c r="SRC2308" s="35"/>
      <c r="TAX2308" s="35"/>
      <c r="TAY2308" s="35"/>
      <c r="TKT2308" s="35"/>
      <c r="TKU2308" s="35"/>
      <c r="TUP2308" s="35"/>
      <c r="TUQ2308" s="35"/>
      <c r="UEL2308" s="35"/>
      <c r="UEM2308" s="35"/>
      <c r="UOH2308" s="35"/>
      <c r="UOI2308" s="35"/>
      <c r="UYD2308" s="35"/>
      <c r="UYE2308" s="35"/>
      <c r="VHZ2308" s="35"/>
      <c r="VIA2308" s="35"/>
      <c r="VRV2308" s="35"/>
      <c r="VRW2308" s="35"/>
      <c r="WBR2308" s="35"/>
      <c r="WBS2308" s="35"/>
      <c r="WLN2308" s="35"/>
      <c r="WLO2308" s="35"/>
      <c r="WVJ2308" s="35"/>
      <c r="WVK2308" s="35"/>
    </row>
    <row r="2309" spans="1:771 1026:1795 2050:2819 3074:3843 4098:4867 5122:5891 6146:6915 7170:7939 8194:8963 9218:9987 10242:11011 11266:12035 12290:13059 13314:14083 14338:15107 15362:16131" s="35" customFormat="1" ht="55.2" x14ac:dyDescent="0.3">
      <c r="A2309" s="28">
        <v>218</v>
      </c>
      <c r="B2309" s="29" t="s">
        <v>1765</v>
      </c>
      <c r="C2309" s="30" t="s">
        <v>2334</v>
      </c>
      <c r="D2309" s="31" t="s">
        <v>13</v>
      </c>
      <c r="E2309" s="32">
        <v>13.6</v>
      </c>
      <c r="F2309" s="33"/>
      <c r="G2309" s="33"/>
      <c r="H2309" s="34" t="s">
        <v>1766</v>
      </c>
    </row>
    <row r="2310" spans="1:771 1026:1795 2050:2819 3074:3843 4098:4867 5122:5891 6146:6915 7170:7939 8194:8963 9218:9987 10242:11011 11266:12035 12290:13059 13314:14083 14338:15107 15362:16131" s="35" customFormat="1" x14ac:dyDescent="0.3">
      <c r="A2310" s="36"/>
      <c r="B2310" s="37" t="s">
        <v>1758</v>
      </c>
      <c r="C2310" s="38" t="s">
        <v>14</v>
      </c>
      <c r="D2310" s="39"/>
      <c r="E2310" s="44"/>
      <c r="F2310" s="40"/>
      <c r="G2310" s="41">
        <f>SUM(G2311)</f>
        <v>141494400</v>
      </c>
      <c r="H2310" s="42"/>
    </row>
    <row r="2311" spans="1:771 1026:1795 2050:2819 3074:3843 4098:4867 5122:5891 6146:6915 7170:7939 8194:8963 9218:9987 10242:11011 11266:12035 12290:13059 13314:14083 14338:15107 15362:16131" s="35" customFormat="1" ht="31.2" x14ac:dyDescent="0.3">
      <c r="A2311" s="36"/>
      <c r="B2311" s="37" t="s">
        <v>88</v>
      </c>
      <c r="C2311" s="43" t="s">
        <v>55</v>
      </c>
      <c r="D2311" s="39" t="s">
        <v>13</v>
      </c>
      <c r="E2311" s="44">
        <v>13.6</v>
      </c>
      <c r="F2311" s="153">
        <v>10404000</v>
      </c>
      <c r="G2311" s="40">
        <f>E2311*F2311</f>
        <v>141494400</v>
      </c>
      <c r="H2311" s="42"/>
    </row>
    <row r="2312" spans="1:771 1026:1795 2050:2819 3074:3843 4098:4867 5122:5891 6146:6915 7170:7939 8194:8963 9218:9987 10242:11011 11266:12035 12290:13059 13314:14083 14338:15107 15362:16131" s="35" customFormat="1" ht="62.4" x14ac:dyDescent="0.3">
      <c r="A2312" s="36"/>
      <c r="B2312" s="46" t="s">
        <v>1767</v>
      </c>
      <c r="C2312" s="47" t="s">
        <v>35</v>
      </c>
      <c r="D2312" s="39"/>
      <c r="E2312" s="44"/>
      <c r="F2312" s="40"/>
      <c r="G2312" s="41">
        <f>SUM(G2313:G2314)</f>
        <v>1904000</v>
      </c>
      <c r="H2312" s="45"/>
    </row>
    <row r="2313" spans="1:771 1026:1795 2050:2819 3074:3843 4098:4867 5122:5891 6146:6915 7170:7939 8194:8963 9218:9987 10242:11011 11266:12035 12290:13059 13314:14083 14338:15107 15362:16131" s="35" customFormat="1" x14ac:dyDescent="0.3">
      <c r="A2313" s="36"/>
      <c r="B2313" s="46"/>
      <c r="C2313" s="48" t="s">
        <v>105</v>
      </c>
      <c r="D2313" s="39" t="s">
        <v>106</v>
      </c>
      <c r="E2313" s="44">
        <v>1</v>
      </c>
      <c r="F2313" s="40"/>
      <c r="G2313" s="40">
        <f>E2313*F2313</f>
        <v>0</v>
      </c>
      <c r="H2313" s="52" t="s">
        <v>2353</v>
      </c>
    </row>
    <row r="2314" spans="1:771 1026:1795 2050:2819 3074:3843 4098:4867 5122:5891 6146:6915 7170:7939 8194:8963 9218:9987 10242:11011 11266:12035 12290:13059 13314:14083 14338:15107 15362:16131" s="35" customFormat="1" x14ac:dyDescent="0.3">
      <c r="A2314" s="36"/>
      <c r="B2314" s="46"/>
      <c r="C2314" s="48" t="s">
        <v>305</v>
      </c>
      <c r="D2314" s="39" t="s">
        <v>891</v>
      </c>
      <c r="E2314" s="44">
        <f>13.6</f>
        <v>13.6</v>
      </c>
      <c r="F2314" s="40">
        <v>140000</v>
      </c>
      <c r="G2314" s="40">
        <f>E2314*F2314</f>
        <v>1904000</v>
      </c>
      <c r="H2314" s="52" t="s">
        <v>1768</v>
      </c>
    </row>
    <row r="2315" spans="1:771 1026:1795 2050:2819 3074:3843 4098:4867 5122:5891 6146:6915 7170:7939 8194:8963 9218:9987 10242:11011 11266:12035 12290:13059 13314:14083 14338:15107 15362:16131" s="35" customFormat="1" x14ac:dyDescent="0.3">
      <c r="A2315" s="36"/>
      <c r="B2315" s="46"/>
      <c r="C2315" s="51" t="s">
        <v>23</v>
      </c>
      <c r="D2315" s="39"/>
      <c r="E2315" s="1"/>
      <c r="F2315" s="2"/>
      <c r="G2315" s="41">
        <f>SUM(G2316)</f>
        <v>3060000</v>
      </c>
      <c r="H2315" s="52"/>
    </row>
    <row r="2316" spans="1:771 1026:1795 2050:2819 3074:3843 4098:4867 5122:5891 6146:6915 7170:7939 8194:8963 9218:9987 10242:11011 11266:12035 12290:13059 13314:14083 14338:15107 15362:16131" s="35" customFormat="1" x14ac:dyDescent="0.3">
      <c r="A2316" s="36"/>
      <c r="B2316" s="46"/>
      <c r="C2316" s="50" t="s">
        <v>24</v>
      </c>
      <c r="D2316" s="39" t="s">
        <v>25</v>
      </c>
      <c r="E2316" s="1">
        <f>1*30*6</f>
        <v>180</v>
      </c>
      <c r="F2316" s="2">
        <v>17000</v>
      </c>
      <c r="G2316" s="40">
        <f>E2316*F2316</f>
        <v>3060000</v>
      </c>
      <c r="H2316" s="42"/>
    </row>
    <row r="2317" spans="1:771 1026:1795 2050:2819 3074:3843 4098:4867 5122:5891 6146:6915 7170:7939 8194:8963 9218:9987 10242:11011 11266:12035 12290:13059 13314:14083 14338:15107 15362:16131" s="35" customFormat="1" ht="65.400000000000006" thickBot="1" x14ac:dyDescent="0.35">
      <c r="A2317" s="53"/>
      <c r="B2317" s="54"/>
      <c r="C2317" s="55" t="s">
        <v>2331</v>
      </c>
      <c r="D2317" s="56"/>
      <c r="E2317" s="5"/>
      <c r="F2317" s="6"/>
      <c r="G2317" s="57"/>
      <c r="H2317" s="58"/>
    </row>
    <row r="2318" spans="1:771 1026:1795 2050:2819 3074:3843 4098:4867 5122:5891 6146:6915 7170:7939 8194:8963 9218:9987 10242:11011 11266:12035 12290:13059 13314:14083 14338:15107 15362:16131" s="59" customFormat="1" ht="31.8" thickBot="1" x14ac:dyDescent="0.35">
      <c r="A2318" s="154"/>
      <c r="B2318" s="155" t="s">
        <v>26</v>
      </c>
      <c r="C2318" s="156"/>
      <c r="D2318" s="154"/>
      <c r="E2318" s="157"/>
      <c r="F2318" s="158"/>
      <c r="G2318" s="159">
        <f>SUM(G2309:G2317)/2</f>
        <v>146458400</v>
      </c>
      <c r="H2318" s="160"/>
      <c r="IX2318" s="35"/>
      <c r="IY2318" s="35"/>
      <c r="ST2318" s="35"/>
      <c r="SU2318" s="35"/>
      <c r="ACP2318" s="35"/>
      <c r="ACQ2318" s="35"/>
      <c r="AML2318" s="35"/>
      <c r="AMM2318" s="35"/>
      <c r="AWH2318" s="35"/>
      <c r="AWI2318" s="35"/>
      <c r="BGD2318" s="35"/>
      <c r="BGE2318" s="35"/>
      <c r="BPZ2318" s="35"/>
      <c r="BQA2318" s="35"/>
      <c r="BZV2318" s="35"/>
      <c r="BZW2318" s="35"/>
      <c r="CJR2318" s="35"/>
      <c r="CJS2318" s="35"/>
      <c r="CTN2318" s="35"/>
      <c r="CTO2318" s="35"/>
      <c r="DDJ2318" s="35"/>
      <c r="DDK2318" s="35"/>
      <c r="DNF2318" s="35"/>
      <c r="DNG2318" s="35"/>
      <c r="DXB2318" s="35"/>
      <c r="DXC2318" s="35"/>
      <c r="EGX2318" s="35"/>
      <c r="EGY2318" s="35"/>
      <c r="EQT2318" s="35"/>
      <c r="EQU2318" s="35"/>
      <c r="FAP2318" s="35"/>
      <c r="FAQ2318" s="35"/>
      <c r="FKL2318" s="35"/>
      <c r="FKM2318" s="35"/>
      <c r="FUH2318" s="35"/>
      <c r="FUI2318" s="35"/>
      <c r="GED2318" s="35"/>
      <c r="GEE2318" s="35"/>
      <c r="GNZ2318" s="35"/>
      <c r="GOA2318" s="35"/>
      <c r="GXV2318" s="35"/>
      <c r="GXW2318" s="35"/>
      <c r="HHR2318" s="35"/>
      <c r="HHS2318" s="35"/>
      <c r="HRN2318" s="35"/>
      <c r="HRO2318" s="35"/>
      <c r="IBJ2318" s="35"/>
      <c r="IBK2318" s="35"/>
      <c r="ILF2318" s="35"/>
      <c r="ILG2318" s="35"/>
      <c r="IVB2318" s="35"/>
      <c r="IVC2318" s="35"/>
      <c r="JEX2318" s="35"/>
      <c r="JEY2318" s="35"/>
      <c r="JOT2318" s="35"/>
      <c r="JOU2318" s="35"/>
      <c r="JYP2318" s="35"/>
      <c r="JYQ2318" s="35"/>
      <c r="KIL2318" s="35"/>
      <c r="KIM2318" s="35"/>
      <c r="KSH2318" s="35"/>
      <c r="KSI2318" s="35"/>
      <c r="LCD2318" s="35"/>
      <c r="LCE2318" s="35"/>
      <c r="LLZ2318" s="35"/>
      <c r="LMA2318" s="35"/>
      <c r="LVV2318" s="35"/>
      <c r="LVW2318" s="35"/>
      <c r="MFR2318" s="35"/>
      <c r="MFS2318" s="35"/>
      <c r="MPN2318" s="35"/>
      <c r="MPO2318" s="35"/>
      <c r="MZJ2318" s="35"/>
      <c r="MZK2318" s="35"/>
      <c r="NJF2318" s="35"/>
      <c r="NJG2318" s="35"/>
      <c r="NTB2318" s="35"/>
      <c r="NTC2318" s="35"/>
      <c r="OCX2318" s="35"/>
      <c r="OCY2318" s="35"/>
      <c r="OMT2318" s="35"/>
      <c r="OMU2318" s="35"/>
      <c r="OWP2318" s="35"/>
      <c r="OWQ2318" s="35"/>
      <c r="PGL2318" s="35"/>
      <c r="PGM2318" s="35"/>
      <c r="PQH2318" s="35"/>
      <c r="PQI2318" s="35"/>
      <c r="QAD2318" s="35"/>
      <c r="QAE2318" s="35"/>
      <c r="QJZ2318" s="35"/>
      <c r="QKA2318" s="35"/>
      <c r="QTV2318" s="35"/>
      <c r="QTW2318" s="35"/>
      <c r="RDR2318" s="35"/>
      <c r="RDS2318" s="35"/>
      <c r="RNN2318" s="35"/>
      <c r="RNO2318" s="35"/>
      <c r="RXJ2318" s="35"/>
      <c r="RXK2318" s="35"/>
      <c r="SHF2318" s="35"/>
      <c r="SHG2318" s="35"/>
      <c r="SRB2318" s="35"/>
      <c r="SRC2318" s="35"/>
      <c r="TAX2318" s="35"/>
      <c r="TAY2318" s="35"/>
      <c r="TKT2318" s="35"/>
      <c r="TKU2318" s="35"/>
      <c r="TUP2318" s="35"/>
      <c r="TUQ2318" s="35"/>
      <c r="UEL2318" s="35"/>
      <c r="UEM2318" s="35"/>
      <c r="UOH2318" s="35"/>
      <c r="UOI2318" s="35"/>
      <c r="UYD2318" s="35"/>
      <c r="UYE2318" s="35"/>
      <c r="VHZ2318" s="35"/>
      <c r="VIA2318" s="35"/>
      <c r="VRV2318" s="35"/>
      <c r="VRW2318" s="35"/>
      <c r="WBR2318" s="35"/>
      <c r="WBS2318" s="35"/>
      <c r="WLN2318" s="35"/>
      <c r="WLO2318" s="35"/>
      <c r="WVJ2318" s="35"/>
      <c r="WVK2318" s="35"/>
    </row>
    <row r="2319" spans="1:771 1026:1795 2050:2819 3074:3843 4098:4867 5122:5891 6146:6915 7170:7939 8194:8963 9218:9987 10242:11011 11266:12035 12290:13059 13314:14083 14338:15107 15362:16131" s="35" customFormat="1" ht="55.2" x14ac:dyDescent="0.3">
      <c r="A2319" s="28">
        <v>219</v>
      </c>
      <c r="B2319" s="29" t="s">
        <v>2323</v>
      </c>
      <c r="C2319" s="30" t="s">
        <v>2324</v>
      </c>
      <c r="D2319" s="31" t="s">
        <v>13</v>
      </c>
      <c r="E2319" s="32">
        <v>7.6</v>
      </c>
      <c r="F2319" s="33"/>
      <c r="G2319" s="33"/>
      <c r="H2319" s="34" t="s">
        <v>1769</v>
      </c>
    </row>
    <row r="2320" spans="1:771 1026:1795 2050:2819 3074:3843 4098:4867 5122:5891 6146:6915 7170:7939 8194:8963 9218:9987 10242:11011 11266:12035 12290:13059 13314:14083 14338:15107 15362:16131" s="35" customFormat="1" ht="41.4" x14ac:dyDescent="0.3">
      <c r="A2320" s="36"/>
      <c r="B2320" s="37" t="s">
        <v>1770</v>
      </c>
      <c r="C2320" s="38" t="s">
        <v>14</v>
      </c>
      <c r="D2320" s="162"/>
      <c r="E2320" s="44"/>
      <c r="F2320" s="40"/>
      <c r="G2320" s="41">
        <f>SUM(G2321)</f>
        <v>79070400</v>
      </c>
      <c r="H2320" s="42" t="s">
        <v>107</v>
      </c>
    </row>
    <row r="2321" spans="1:771 1026:1795 2050:2819 3074:3843 4098:4867 5122:5891 6146:6915 7170:7939 8194:8963 9218:9987 10242:11011 11266:12035 12290:13059 13314:14083 14338:15107 15362:16131" s="35" customFormat="1" ht="31.2" x14ac:dyDescent="0.3">
      <c r="A2321" s="36"/>
      <c r="B2321" s="37" t="s">
        <v>1771</v>
      </c>
      <c r="C2321" s="43" t="s">
        <v>55</v>
      </c>
      <c r="D2321" s="39" t="s">
        <v>13</v>
      </c>
      <c r="E2321" s="44">
        <v>7.6</v>
      </c>
      <c r="F2321" s="153">
        <v>10404000</v>
      </c>
      <c r="G2321" s="40">
        <f>E2321*F2321</f>
        <v>79070400</v>
      </c>
      <c r="H2321" s="42"/>
    </row>
    <row r="2322" spans="1:771 1026:1795 2050:2819 3074:3843 4098:4867 5122:5891 6146:6915 7170:7939 8194:8963 9218:9987 10242:11011 11266:12035 12290:13059 13314:14083 14338:15107 15362:16131" s="35" customFormat="1" x14ac:dyDescent="0.3">
      <c r="A2322" s="36"/>
      <c r="B2322" s="50" t="s">
        <v>1773</v>
      </c>
      <c r="C2322" s="47" t="s">
        <v>35</v>
      </c>
      <c r="D2322" s="39"/>
      <c r="E2322" s="44"/>
      <c r="F2322" s="40"/>
      <c r="G2322" s="41">
        <f>SUM(G2323:G2326)</f>
        <v>0</v>
      </c>
      <c r="H2322" s="52"/>
    </row>
    <row r="2323" spans="1:771 1026:1795 2050:2819 3074:3843 4098:4867 5122:5891 6146:6915 7170:7939 8194:8963 9218:9987 10242:11011 11266:12035 12290:13059 13314:14083 14338:15107 15362:16131" s="35" customFormat="1" ht="78" x14ac:dyDescent="0.3">
      <c r="A2323" s="36"/>
      <c r="B2323" s="46" t="s">
        <v>1772</v>
      </c>
      <c r="C2323" s="48" t="s">
        <v>1774</v>
      </c>
      <c r="D2323" s="39"/>
      <c r="E2323" s="44"/>
      <c r="F2323" s="40"/>
      <c r="G2323" s="40">
        <f>E2323*F2323</f>
        <v>0</v>
      </c>
      <c r="H2323" s="35" t="s">
        <v>179</v>
      </c>
    </row>
    <row r="2324" spans="1:771 1026:1795 2050:2819 3074:3843 4098:4867 5122:5891 6146:6915 7170:7939 8194:8963 9218:9987 10242:11011 11266:12035 12290:13059 13314:14083 14338:15107 15362:16131" s="35" customFormat="1" x14ac:dyDescent="0.3">
      <c r="A2324" s="36"/>
      <c r="B2324" s="46"/>
      <c r="C2324" s="48" t="s">
        <v>15</v>
      </c>
      <c r="D2324" s="39"/>
      <c r="E2324" s="44"/>
      <c r="F2324" s="40"/>
      <c r="G2324" s="40">
        <f>E2324*F2324</f>
        <v>0</v>
      </c>
      <c r="H2324" s="52"/>
    </row>
    <row r="2325" spans="1:771 1026:1795 2050:2819 3074:3843 4098:4867 5122:5891 6146:6915 7170:7939 8194:8963 9218:9987 10242:11011 11266:12035 12290:13059 13314:14083 14338:15107 15362:16131" s="35" customFormat="1" ht="31.2" x14ac:dyDescent="0.3">
      <c r="A2325" s="36"/>
      <c r="B2325" s="46"/>
      <c r="C2325" s="48" t="s">
        <v>1775</v>
      </c>
      <c r="D2325" s="39" t="s">
        <v>13</v>
      </c>
      <c r="E2325" s="44">
        <f>1.85*4</f>
        <v>7.4</v>
      </c>
      <c r="F2325" s="40">
        <v>0</v>
      </c>
      <c r="G2325" s="40">
        <f>E2325*F2325</f>
        <v>0</v>
      </c>
      <c r="H2325" s="35" t="s">
        <v>179</v>
      </c>
    </row>
    <row r="2326" spans="1:771 1026:1795 2050:2819 3074:3843 4098:4867 5122:5891 6146:6915 7170:7939 8194:8963 9218:9987 10242:11011 11266:12035 12290:13059 13314:14083 14338:15107 15362:16131" s="35" customFormat="1" ht="18.600000000000001" x14ac:dyDescent="0.3">
      <c r="A2326" s="36"/>
      <c r="B2326" s="46"/>
      <c r="C2326" s="48" t="s">
        <v>1748</v>
      </c>
      <c r="D2326" s="39" t="s">
        <v>13</v>
      </c>
      <c r="E2326" s="44">
        <f>4.3*4</f>
        <v>17.2</v>
      </c>
      <c r="F2326" s="40"/>
      <c r="G2326" s="40">
        <f>E2326*F2326</f>
        <v>0</v>
      </c>
      <c r="H2326" s="35" t="s">
        <v>179</v>
      </c>
    </row>
    <row r="2327" spans="1:771 1026:1795 2050:2819 3074:3843 4098:4867 5122:5891 6146:6915 7170:7939 8194:8963 9218:9987 10242:11011 11266:12035 12290:13059 13314:14083 14338:15107 15362:16131" s="35" customFormat="1" x14ac:dyDescent="0.3">
      <c r="A2327" s="36"/>
      <c r="B2327" s="46"/>
      <c r="C2327" s="51" t="s">
        <v>23</v>
      </c>
      <c r="D2327" s="39"/>
      <c r="E2327" s="1"/>
      <c r="F2327" s="2"/>
      <c r="G2327" s="41">
        <f>SUM(G2328)</f>
        <v>6120000</v>
      </c>
      <c r="H2327" s="52"/>
    </row>
    <row r="2328" spans="1:771 1026:1795 2050:2819 3074:3843 4098:4867 5122:5891 6146:6915 7170:7939 8194:8963 9218:9987 10242:11011 11266:12035 12290:13059 13314:14083 14338:15107 15362:16131" s="35" customFormat="1" x14ac:dyDescent="0.3">
      <c r="A2328" s="36"/>
      <c r="B2328" s="46"/>
      <c r="C2328" s="50" t="s">
        <v>24</v>
      </c>
      <c r="D2328" s="39" t="s">
        <v>25</v>
      </c>
      <c r="E2328" s="1">
        <f>2*30*6</f>
        <v>360</v>
      </c>
      <c r="F2328" s="2">
        <v>17000</v>
      </c>
      <c r="G2328" s="40">
        <f>E2328*F2328</f>
        <v>6120000</v>
      </c>
      <c r="H2328" s="42"/>
    </row>
    <row r="2329" spans="1:771 1026:1795 2050:2819 3074:3843 4098:4867 5122:5891 6146:6915 7170:7939 8194:8963 9218:9987 10242:11011 11266:12035 12290:13059 13314:14083 14338:15107 15362:16131" s="35" customFormat="1" ht="65.400000000000006" thickBot="1" x14ac:dyDescent="0.35">
      <c r="A2329" s="53"/>
      <c r="B2329" s="54"/>
      <c r="C2329" s="55" t="s">
        <v>2331</v>
      </c>
      <c r="D2329" s="56"/>
      <c r="E2329" s="5"/>
      <c r="F2329" s="6"/>
      <c r="G2329" s="57"/>
      <c r="H2329" s="58"/>
    </row>
    <row r="2330" spans="1:771 1026:1795 2050:2819 3074:3843 4098:4867 5122:5891 6146:6915 7170:7939 8194:8963 9218:9987 10242:11011 11266:12035 12290:13059 13314:14083 14338:15107 15362:16131" s="59" customFormat="1" ht="31.8" thickBot="1" x14ac:dyDescent="0.35">
      <c r="A2330" s="154"/>
      <c r="B2330" s="155" t="s">
        <v>26</v>
      </c>
      <c r="C2330" s="156"/>
      <c r="D2330" s="154"/>
      <c r="E2330" s="157"/>
      <c r="F2330" s="158"/>
      <c r="G2330" s="159">
        <f>SUM(G2319:G2329)/2</f>
        <v>85190400</v>
      </c>
      <c r="H2330" s="160"/>
      <c r="IX2330" s="35"/>
      <c r="IY2330" s="35"/>
      <c r="ST2330" s="35"/>
      <c r="SU2330" s="35"/>
      <c r="ACP2330" s="35"/>
      <c r="ACQ2330" s="35"/>
      <c r="AML2330" s="35"/>
      <c r="AMM2330" s="35"/>
      <c r="AWH2330" s="35"/>
      <c r="AWI2330" s="35"/>
      <c r="BGD2330" s="35"/>
      <c r="BGE2330" s="35"/>
      <c r="BPZ2330" s="35"/>
      <c r="BQA2330" s="35"/>
      <c r="BZV2330" s="35"/>
      <c r="BZW2330" s="35"/>
      <c r="CJR2330" s="35"/>
      <c r="CJS2330" s="35"/>
      <c r="CTN2330" s="35"/>
      <c r="CTO2330" s="35"/>
      <c r="DDJ2330" s="35"/>
      <c r="DDK2330" s="35"/>
      <c r="DNF2330" s="35"/>
      <c r="DNG2330" s="35"/>
      <c r="DXB2330" s="35"/>
      <c r="DXC2330" s="35"/>
      <c r="EGX2330" s="35"/>
      <c r="EGY2330" s="35"/>
      <c r="EQT2330" s="35"/>
      <c r="EQU2330" s="35"/>
      <c r="FAP2330" s="35"/>
      <c r="FAQ2330" s="35"/>
      <c r="FKL2330" s="35"/>
      <c r="FKM2330" s="35"/>
      <c r="FUH2330" s="35"/>
      <c r="FUI2330" s="35"/>
      <c r="GED2330" s="35"/>
      <c r="GEE2330" s="35"/>
      <c r="GNZ2330" s="35"/>
      <c r="GOA2330" s="35"/>
      <c r="GXV2330" s="35"/>
      <c r="GXW2330" s="35"/>
      <c r="HHR2330" s="35"/>
      <c r="HHS2330" s="35"/>
      <c r="HRN2330" s="35"/>
      <c r="HRO2330" s="35"/>
      <c r="IBJ2330" s="35"/>
      <c r="IBK2330" s="35"/>
      <c r="ILF2330" s="35"/>
      <c r="ILG2330" s="35"/>
      <c r="IVB2330" s="35"/>
      <c r="IVC2330" s="35"/>
      <c r="JEX2330" s="35"/>
      <c r="JEY2330" s="35"/>
      <c r="JOT2330" s="35"/>
      <c r="JOU2330" s="35"/>
      <c r="JYP2330" s="35"/>
      <c r="JYQ2330" s="35"/>
      <c r="KIL2330" s="35"/>
      <c r="KIM2330" s="35"/>
      <c r="KSH2330" s="35"/>
      <c r="KSI2330" s="35"/>
      <c r="LCD2330" s="35"/>
      <c r="LCE2330" s="35"/>
      <c r="LLZ2330" s="35"/>
      <c r="LMA2330" s="35"/>
      <c r="LVV2330" s="35"/>
      <c r="LVW2330" s="35"/>
      <c r="MFR2330" s="35"/>
      <c r="MFS2330" s="35"/>
      <c r="MPN2330" s="35"/>
      <c r="MPO2330" s="35"/>
      <c r="MZJ2330" s="35"/>
      <c r="MZK2330" s="35"/>
      <c r="NJF2330" s="35"/>
      <c r="NJG2330" s="35"/>
      <c r="NTB2330" s="35"/>
      <c r="NTC2330" s="35"/>
      <c r="OCX2330" s="35"/>
      <c r="OCY2330" s="35"/>
      <c r="OMT2330" s="35"/>
      <c r="OMU2330" s="35"/>
      <c r="OWP2330" s="35"/>
      <c r="OWQ2330" s="35"/>
      <c r="PGL2330" s="35"/>
      <c r="PGM2330" s="35"/>
      <c r="PQH2330" s="35"/>
      <c r="PQI2330" s="35"/>
      <c r="QAD2330" s="35"/>
      <c r="QAE2330" s="35"/>
      <c r="QJZ2330" s="35"/>
      <c r="QKA2330" s="35"/>
      <c r="QTV2330" s="35"/>
      <c r="QTW2330" s="35"/>
      <c r="RDR2330" s="35"/>
      <c r="RDS2330" s="35"/>
      <c r="RNN2330" s="35"/>
      <c r="RNO2330" s="35"/>
      <c r="RXJ2330" s="35"/>
      <c r="RXK2330" s="35"/>
      <c r="SHF2330" s="35"/>
      <c r="SHG2330" s="35"/>
      <c r="SRB2330" s="35"/>
      <c r="SRC2330" s="35"/>
      <c r="TAX2330" s="35"/>
      <c r="TAY2330" s="35"/>
      <c r="TKT2330" s="35"/>
      <c r="TKU2330" s="35"/>
      <c r="TUP2330" s="35"/>
      <c r="TUQ2330" s="35"/>
      <c r="UEL2330" s="35"/>
      <c r="UEM2330" s="35"/>
      <c r="UOH2330" s="35"/>
      <c r="UOI2330" s="35"/>
      <c r="UYD2330" s="35"/>
      <c r="UYE2330" s="35"/>
      <c r="VHZ2330" s="35"/>
      <c r="VIA2330" s="35"/>
      <c r="VRV2330" s="35"/>
      <c r="VRW2330" s="35"/>
      <c r="WBR2330" s="35"/>
      <c r="WBS2330" s="35"/>
      <c r="WLN2330" s="35"/>
      <c r="WLO2330" s="35"/>
      <c r="WVJ2330" s="35"/>
      <c r="WVK2330" s="35"/>
    </row>
    <row r="2331" spans="1:771 1026:1795 2050:2819 3074:3843 4098:4867 5122:5891 6146:6915 7170:7939 8194:8963 9218:9987 10242:11011 11266:12035 12290:13059 13314:14083 14338:15107 15362:16131" s="35" customFormat="1" ht="55.2" x14ac:dyDescent="0.3">
      <c r="A2331" s="28">
        <v>220</v>
      </c>
      <c r="B2331" s="60" t="s">
        <v>1776</v>
      </c>
      <c r="C2331" s="30" t="s">
        <v>2321</v>
      </c>
      <c r="D2331" s="31" t="s">
        <v>13</v>
      </c>
      <c r="E2331" s="32">
        <v>8.1999999999999993</v>
      </c>
      <c r="F2331" s="33"/>
      <c r="G2331" s="33"/>
      <c r="H2331" s="34" t="s">
        <v>1777</v>
      </c>
    </row>
    <row r="2332" spans="1:771 1026:1795 2050:2819 3074:3843 4098:4867 5122:5891 6146:6915 7170:7939 8194:8963 9218:9987 10242:11011 11266:12035 12290:13059 13314:14083 14338:15107 15362:16131" s="35" customFormat="1" ht="31.2" x14ac:dyDescent="0.3">
      <c r="A2332" s="36"/>
      <c r="B2332" s="37" t="s">
        <v>2322</v>
      </c>
      <c r="C2332" s="38" t="s">
        <v>14</v>
      </c>
      <c r="D2332" s="162"/>
      <c r="E2332" s="44"/>
      <c r="F2332" s="40"/>
      <c r="G2332" s="41">
        <f>SUM(G2333)</f>
        <v>159727800</v>
      </c>
      <c r="H2332" s="42" t="s">
        <v>1778</v>
      </c>
    </row>
    <row r="2333" spans="1:771 1026:1795 2050:2819 3074:3843 4098:4867 5122:5891 6146:6915 7170:7939 8194:8963 9218:9987 10242:11011 11266:12035 12290:13059 13314:14083 14338:15107 15362:16131" s="35" customFormat="1" ht="18.600000000000001" x14ac:dyDescent="0.3">
      <c r="A2333" s="36"/>
      <c r="B2333" s="37" t="s">
        <v>1779</v>
      </c>
      <c r="C2333" s="48" t="s">
        <v>38</v>
      </c>
      <c r="D2333" s="39" t="s">
        <v>13</v>
      </c>
      <c r="E2333" s="44">
        <v>8.1999999999999993</v>
      </c>
      <c r="F2333" s="161">
        <v>19479000</v>
      </c>
      <c r="G2333" s="40">
        <f>E2333*F2333</f>
        <v>159727800</v>
      </c>
      <c r="H2333" s="42"/>
    </row>
    <row r="2334" spans="1:771 1026:1795 2050:2819 3074:3843 4098:4867 5122:5891 6146:6915 7170:7939 8194:8963 9218:9987 10242:11011 11266:12035 12290:13059 13314:14083 14338:15107 15362:16131" s="35" customFormat="1" ht="65.400000000000006" thickBot="1" x14ac:dyDescent="0.35">
      <c r="A2334" s="53"/>
      <c r="B2334" s="46" t="s">
        <v>1780</v>
      </c>
      <c r="C2334" s="55" t="s">
        <v>2331</v>
      </c>
      <c r="D2334" s="56"/>
      <c r="E2334" s="5"/>
      <c r="F2334" s="6"/>
      <c r="G2334" s="57"/>
      <c r="H2334" s="58"/>
    </row>
    <row r="2335" spans="1:771 1026:1795 2050:2819 3074:3843 4098:4867 5122:5891 6146:6915 7170:7939 8194:8963 9218:9987 10242:11011 11266:12035 12290:13059 13314:14083 14338:15107 15362:16131" s="59" customFormat="1" ht="31.8" thickBot="1" x14ac:dyDescent="0.35">
      <c r="A2335" s="154"/>
      <c r="B2335" s="155" t="s">
        <v>26</v>
      </c>
      <c r="C2335" s="156"/>
      <c r="D2335" s="154"/>
      <c r="E2335" s="157"/>
      <c r="F2335" s="158"/>
      <c r="G2335" s="159">
        <f>SUM(G2331:G2334)/2</f>
        <v>159727800</v>
      </c>
      <c r="H2335" s="160"/>
      <c r="IX2335" s="35"/>
      <c r="IY2335" s="35"/>
      <c r="ST2335" s="35"/>
      <c r="SU2335" s="35"/>
      <c r="ACP2335" s="35"/>
      <c r="ACQ2335" s="35"/>
      <c r="AML2335" s="35"/>
      <c r="AMM2335" s="35"/>
      <c r="AWH2335" s="35"/>
      <c r="AWI2335" s="35"/>
      <c r="BGD2335" s="35"/>
      <c r="BGE2335" s="35"/>
      <c r="BPZ2335" s="35"/>
      <c r="BQA2335" s="35"/>
      <c r="BZV2335" s="35"/>
      <c r="BZW2335" s="35"/>
      <c r="CJR2335" s="35"/>
      <c r="CJS2335" s="35"/>
      <c r="CTN2335" s="35"/>
      <c r="CTO2335" s="35"/>
      <c r="DDJ2335" s="35"/>
      <c r="DDK2335" s="35"/>
      <c r="DNF2335" s="35"/>
      <c r="DNG2335" s="35"/>
      <c r="DXB2335" s="35"/>
      <c r="DXC2335" s="35"/>
      <c r="EGX2335" s="35"/>
      <c r="EGY2335" s="35"/>
      <c r="EQT2335" s="35"/>
      <c r="EQU2335" s="35"/>
      <c r="FAP2335" s="35"/>
      <c r="FAQ2335" s="35"/>
      <c r="FKL2335" s="35"/>
      <c r="FKM2335" s="35"/>
      <c r="FUH2335" s="35"/>
      <c r="FUI2335" s="35"/>
      <c r="GED2335" s="35"/>
      <c r="GEE2335" s="35"/>
      <c r="GNZ2335" s="35"/>
      <c r="GOA2335" s="35"/>
      <c r="GXV2335" s="35"/>
      <c r="GXW2335" s="35"/>
      <c r="HHR2335" s="35"/>
      <c r="HHS2335" s="35"/>
      <c r="HRN2335" s="35"/>
      <c r="HRO2335" s="35"/>
      <c r="IBJ2335" s="35"/>
      <c r="IBK2335" s="35"/>
      <c r="ILF2335" s="35"/>
      <c r="ILG2335" s="35"/>
      <c r="IVB2335" s="35"/>
      <c r="IVC2335" s="35"/>
      <c r="JEX2335" s="35"/>
      <c r="JEY2335" s="35"/>
      <c r="JOT2335" s="35"/>
      <c r="JOU2335" s="35"/>
      <c r="JYP2335" s="35"/>
      <c r="JYQ2335" s="35"/>
      <c r="KIL2335" s="35"/>
      <c r="KIM2335" s="35"/>
      <c r="KSH2335" s="35"/>
      <c r="KSI2335" s="35"/>
      <c r="LCD2335" s="35"/>
      <c r="LCE2335" s="35"/>
      <c r="LLZ2335" s="35"/>
      <c r="LMA2335" s="35"/>
      <c r="LVV2335" s="35"/>
      <c r="LVW2335" s="35"/>
      <c r="MFR2335" s="35"/>
      <c r="MFS2335" s="35"/>
      <c r="MPN2335" s="35"/>
      <c r="MPO2335" s="35"/>
      <c r="MZJ2335" s="35"/>
      <c r="MZK2335" s="35"/>
      <c r="NJF2335" s="35"/>
      <c r="NJG2335" s="35"/>
      <c r="NTB2335" s="35"/>
      <c r="NTC2335" s="35"/>
      <c r="OCX2335" s="35"/>
      <c r="OCY2335" s="35"/>
      <c r="OMT2335" s="35"/>
      <c r="OMU2335" s="35"/>
      <c r="OWP2335" s="35"/>
      <c r="OWQ2335" s="35"/>
      <c r="PGL2335" s="35"/>
      <c r="PGM2335" s="35"/>
      <c r="PQH2335" s="35"/>
      <c r="PQI2335" s="35"/>
      <c r="QAD2335" s="35"/>
      <c r="QAE2335" s="35"/>
      <c r="QJZ2335" s="35"/>
      <c r="QKA2335" s="35"/>
      <c r="QTV2335" s="35"/>
      <c r="QTW2335" s="35"/>
      <c r="RDR2335" s="35"/>
      <c r="RDS2335" s="35"/>
      <c r="RNN2335" s="35"/>
      <c r="RNO2335" s="35"/>
      <c r="RXJ2335" s="35"/>
      <c r="RXK2335" s="35"/>
      <c r="SHF2335" s="35"/>
      <c r="SHG2335" s="35"/>
      <c r="SRB2335" s="35"/>
      <c r="SRC2335" s="35"/>
      <c r="TAX2335" s="35"/>
      <c r="TAY2335" s="35"/>
      <c r="TKT2335" s="35"/>
      <c r="TKU2335" s="35"/>
      <c r="TUP2335" s="35"/>
      <c r="TUQ2335" s="35"/>
      <c r="UEL2335" s="35"/>
      <c r="UEM2335" s="35"/>
      <c r="UOH2335" s="35"/>
      <c r="UOI2335" s="35"/>
      <c r="UYD2335" s="35"/>
      <c r="UYE2335" s="35"/>
      <c r="VHZ2335" s="35"/>
      <c r="VIA2335" s="35"/>
      <c r="VRV2335" s="35"/>
      <c r="VRW2335" s="35"/>
      <c r="WBR2335" s="35"/>
      <c r="WBS2335" s="35"/>
      <c r="WLN2335" s="35"/>
      <c r="WLO2335" s="35"/>
      <c r="WVJ2335" s="35"/>
      <c r="WVK2335" s="35"/>
    </row>
    <row r="2336" spans="1:771 1026:1795 2050:2819 3074:3843 4098:4867 5122:5891 6146:6915 7170:7939 8194:8963 9218:9987 10242:11011 11266:12035 12290:13059 13314:14083 14338:15107 15362:16131" s="35" customFormat="1" ht="55.2" x14ac:dyDescent="0.3">
      <c r="A2336" s="28">
        <v>221</v>
      </c>
      <c r="B2336" s="29" t="s">
        <v>1781</v>
      </c>
      <c r="C2336" s="30" t="s">
        <v>2320</v>
      </c>
      <c r="D2336" s="31" t="s">
        <v>13</v>
      </c>
      <c r="E2336" s="32">
        <v>23.7</v>
      </c>
      <c r="F2336" s="33"/>
      <c r="G2336" s="33"/>
      <c r="H2336" s="34" t="s">
        <v>1782</v>
      </c>
    </row>
    <row r="2337" spans="1:771 1026:1795 2050:2819 3074:3843 4098:4867 5122:5891 6146:6915 7170:7939 8194:8963 9218:9987 10242:11011 11266:12035 12290:13059 13314:14083 14338:15107 15362:16131" s="35" customFormat="1" x14ac:dyDescent="0.3">
      <c r="A2337" s="36"/>
      <c r="B2337" s="37" t="s">
        <v>1783</v>
      </c>
      <c r="C2337" s="38" t="s">
        <v>14</v>
      </c>
      <c r="D2337" s="162"/>
      <c r="E2337" s="44"/>
      <c r="F2337" s="40"/>
      <c r="G2337" s="41">
        <f>SUM(G2338)</f>
        <v>461652300</v>
      </c>
      <c r="H2337" s="42"/>
    </row>
    <row r="2338" spans="1:771 1026:1795 2050:2819 3074:3843 4098:4867 5122:5891 6146:6915 7170:7939 8194:8963 9218:9987 10242:11011 11266:12035 12290:13059 13314:14083 14338:15107 15362:16131" s="35" customFormat="1" x14ac:dyDescent="0.3">
      <c r="A2338" s="36"/>
      <c r="B2338" s="37" t="s">
        <v>1784</v>
      </c>
      <c r="C2338" s="48" t="s">
        <v>38</v>
      </c>
      <c r="D2338" s="39" t="s">
        <v>891</v>
      </c>
      <c r="E2338" s="44">
        <v>23.7</v>
      </c>
      <c r="F2338" s="161">
        <v>19479000</v>
      </c>
      <c r="G2338" s="40">
        <f>E2338*F2338</f>
        <v>461652300</v>
      </c>
      <c r="H2338" s="42"/>
    </row>
    <row r="2339" spans="1:771 1026:1795 2050:2819 3074:3843 4098:4867 5122:5891 6146:6915 7170:7939 8194:8963 9218:9987 10242:11011 11266:12035 12290:13059 13314:14083 14338:15107 15362:16131" s="35" customFormat="1" ht="78" x14ac:dyDescent="0.3">
      <c r="A2339" s="36"/>
      <c r="B2339" s="46" t="s">
        <v>1785</v>
      </c>
      <c r="C2339" s="47" t="s">
        <v>35</v>
      </c>
      <c r="D2339" s="39"/>
      <c r="E2339" s="44"/>
      <c r="F2339" s="40"/>
      <c r="G2339" s="41">
        <f>SUM(G2340:G2346)</f>
        <v>13338000</v>
      </c>
      <c r="H2339" s="45"/>
    </row>
    <row r="2340" spans="1:771 1026:1795 2050:2819 3074:3843 4098:4867 5122:5891 6146:6915 7170:7939 8194:8963 9218:9987 10242:11011 11266:12035 12290:13059 13314:14083 14338:15107 15362:16131" s="35" customFormat="1" ht="78" x14ac:dyDescent="0.3">
      <c r="A2340" s="36"/>
      <c r="B2340" s="50" t="s">
        <v>1786</v>
      </c>
      <c r="C2340" s="48" t="s">
        <v>1787</v>
      </c>
      <c r="D2340" s="39"/>
      <c r="E2340" s="44"/>
      <c r="F2340" s="40"/>
      <c r="G2340" s="40">
        <f t="shared" ref="G2340:G2345" si="32">E2340*F2340</f>
        <v>0</v>
      </c>
      <c r="H2340" s="52"/>
    </row>
    <row r="2341" spans="1:771 1026:1795 2050:2819 3074:3843 4098:4867 5122:5891 6146:6915 7170:7939 8194:8963 9218:9987 10242:11011 11266:12035 12290:13059 13314:14083 14338:15107 15362:16131" s="35" customFormat="1" ht="18.600000000000001" x14ac:dyDescent="0.3">
      <c r="A2341" s="36"/>
      <c r="B2341" s="46"/>
      <c r="C2341" s="48" t="s">
        <v>15</v>
      </c>
      <c r="D2341" s="39" t="s">
        <v>13</v>
      </c>
      <c r="E2341" s="44"/>
      <c r="F2341" s="40"/>
      <c r="G2341" s="40">
        <f t="shared" si="32"/>
        <v>0</v>
      </c>
      <c r="H2341" s="52"/>
    </row>
    <row r="2342" spans="1:771 1026:1795 2050:2819 3074:3843 4098:4867 5122:5891 6146:6915 7170:7939 8194:8963 9218:9987 10242:11011 11266:12035 12290:13059 13314:14083 14338:15107 15362:16131" s="35" customFormat="1" ht="41.4" x14ac:dyDescent="0.3">
      <c r="A2342" s="36"/>
      <c r="B2342" s="46"/>
      <c r="C2342" s="48" t="s">
        <v>1788</v>
      </c>
      <c r="D2342" s="39" t="s">
        <v>13</v>
      </c>
      <c r="E2342" s="44">
        <f>2*5.35</f>
        <v>10.7</v>
      </c>
      <c r="F2342" s="40">
        <v>540000</v>
      </c>
      <c r="G2342" s="40">
        <f t="shared" si="32"/>
        <v>5778000</v>
      </c>
      <c r="H2342" s="42" t="s">
        <v>2570</v>
      </c>
    </row>
    <row r="2343" spans="1:771 1026:1795 2050:2819 3074:3843 4098:4867 5122:5891 6146:6915 7170:7939 8194:8963 9218:9987 10242:11011 11266:12035 12290:13059 13314:14083 14338:15107 15362:16131" s="35" customFormat="1" ht="78" x14ac:dyDescent="0.3">
      <c r="A2343" s="36"/>
      <c r="B2343" s="46"/>
      <c r="C2343" s="48" t="s">
        <v>2607</v>
      </c>
      <c r="D2343" s="39"/>
      <c r="E2343" s="44"/>
      <c r="F2343" s="40"/>
      <c r="G2343" s="40">
        <f t="shared" si="32"/>
        <v>0</v>
      </c>
      <c r="H2343" s="52"/>
    </row>
    <row r="2344" spans="1:771 1026:1795 2050:2819 3074:3843 4098:4867 5122:5891 6146:6915 7170:7939 8194:8963 9218:9987 10242:11011 11266:12035 12290:13059 13314:14083 14338:15107 15362:16131" s="35" customFormat="1" x14ac:dyDescent="0.3">
      <c r="A2344" s="36"/>
      <c r="B2344" s="46"/>
      <c r="C2344" s="48" t="s">
        <v>15</v>
      </c>
      <c r="D2344" s="39"/>
      <c r="E2344" s="44"/>
      <c r="F2344" s="40"/>
      <c r="G2344" s="40">
        <f t="shared" si="32"/>
        <v>0</v>
      </c>
      <c r="H2344" s="52"/>
    </row>
    <row r="2345" spans="1:771 1026:1795 2050:2819 3074:3843 4098:4867 5122:5891 6146:6915 7170:7939 8194:8963 9218:9987 10242:11011 11266:12035 12290:13059 13314:14083 14338:15107 15362:16131" s="35" customFormat="1" ht="41.4" x14ac:dyDescent="0.3">
      <c r="A2345" s="36"/>
      <c r="B2345" s="46"/>
      <c r="C2345" s="48" t="s">
        <v>1788</v>
      </c>
      <c r="D2345" s="39" t="s">
        <v>13</v>
      </c>
      <c r="E2345" s="44">
        <f>2*7</f>
        <v>14</v>
      </c>
      <c r="F2345" s="40">
        <v>540000</v>
      </c>
      <c r="G2345" s="40">
        <f t="shared" si="32"/>
        <v>7560000</v>
      </c>
      <c r="H2345" s="42" t="s">
        <v>2571</v>
      </c>
    </row>
    <row r="2346" spans="1:771 1026:1795 2050:2819 3074:3843 4098:4867 5122:5891 6146:6915 7170:7939 8194:8963 9218:9987 10242:11011 11266:12035 12290:13059 13314:14083 14338:15107 15362:16131" s="35" customFormat="1" ht="65.400000000000006" thickBot="1" x14ac:dyDescent="0.35">
      <c r="A2346" s="53"/>
      <c r="B2346" s="54"/>
      <c r="C2346" s="55" t="s">
        <v>2331</v>
      </c>
      <c r="D2346" s="56"/>
      <c r="E2346" s="5"/>
      <c r="F2346" s="6"/>
      <c r="G2346" s="57"/>
      <c r="H2346" s="58"/>
    </row>
    <row r="2347" spans="1:771 1026:1795 2050:2819 3074:3843 4098:4867 5122:5891 6146:6915 7170:7939 8194:8963 9218:9987 10242:11011 11266:12035 12290:13059 13314:14083 14338:15107 15362:16131" s="59" customFormat="1" ht="31.8" thickBot="1" x14ac:dyDescent="0.35">
      <c r="A2347" s="154"/>
      <c r="B2347" s="155" t="s">
        <v>26</v>
      </c>
      <c r="C2347" s="156"/>
      <c r="D2347" s="154"/>
      <c r="E2347" s="157"/>
      <c r="F2347" s="158"/>
      <c r="G2347" s="159">
        <f>SUM(G2336:G2346)/2</f>
        <v>474990300</v>
      </c>
      <c r="H2347" s="160"/>
      <c r="IX2347" s="35"/>
      <c r="IY2347" s="35"/>
      <c r="ST2347" s="35"/>
      <c r="SU2347" s="35"/>
      <c r="ACP2347" s="35"/>
      <c r="ACQ2347" s="35"/>
      <c r="AML2347" s="35"/>
      <c r="AMM2347" s="35"/>
      <c r="AWH2347" s="35"/>
      <c r="AWI2347" s="35"/>
      <c r="BGD2347" s="35"/>
      <c r="BGE2347" s="35"/>
      <c r="BPZ2347" s="35"/>
      <c r="BQA2347" s="35"/>
      <c r="BZV2347" s="35"/>
      <c r="BZW2347" s="35"/>
      <c r="CJR2347" s="35"/>
      <c r="CJS2347" s="35"/>
      <c r="CTN2347" s="35"/>
      <c r="CTO2347" s="35"/>
      <c r="DDJ2347" s="35"/>
      <c r="DDK2347" s="35"/>
      <c r="DNF2347" s="35"/>
      <c r="DNG2347" s="35"/>
      <c r="DXB2347" s="35"/>
      <c r="DXC2347" s="35"/>
      <c r="EGX2347" s="35"/>
      <c r="EGY2347" s="35"/>
      <c r="EQT2347" s="35"/>
      <c r="EQU2347" s="35"/>
      <c r="FAP2347" s="35"/>
      <c r="FAQ2347" s="35"/>
      <c r="FKL2347" s="35"/>
      <c r="FKM2347" s="35"/>
      <c r="FUH2347" s="35"/>
      <c r="FUI2347" s="35"/>
      <c r="GED2347" s="35"/>
      <c r="GEE2347" s="35"/>
      <c r="GNZ2347" s="35"/>
      <c r="GOA2347" s="35"/>
      <c r="GXV2347" s="35"/>
      <c r="GXW2347" s="35"/>
      <c r="HHR2347" s="35"/>
      <c r="HHS2347" s="35"/>
      <c r="HRN2347" s="35"/>
      <c r="HRO2347" s="35"/>
      <c r="IBJ2347" s="35"/>
      <c r="IBK2347" s="35"/>
      <c r="ILF2347" s="35"/>
      <c r="ILG2347" s="35"/>
      <c r="IVB2347" s="35"/>
      <c r="IVC2347" s="35"/>
      <c r="JEX2347" s="35"/>
      <c r="JEY2347" s="35"/>
      <c r="JOT2347" s="35"/>
      <c r="JOU2347" s="35"/>
      <c r="JYP2347" s="35"/>
      <c r="JYQ2347" s="35"/>
      <c r="KIL2347" s="35"/>
      <c r="KIM2347" s="35"/>
      <c r="KSH2347" s="35"/>
      <c r="KSI2347" s="35"/>
      <c r="LCD2347" s="35"/>
      <c r="LCE2347" s="35"/>
      <c r="LLZ2347" s="35"/>
      <c r="LMA2347" s="35"/>
      <c r="LVV2347" s="35"/>
      <c r="LVW2347" s="35"/>
      <c r="MFR2347" s="35"/>
      <c r="MFS2347" s="35"/>
      <c r="MPN2347" s="35"/>
      <c r="MPO2347" s="35"/>
      <c r="MZJ2347" s="35"/>
      <c r="MZK2347" s="35"/>
      <c r="NJF2347" s="35"/>
      <c r="NJG2347" s="35"/>
      <c r="NTB2347" s="35"/>
      <c r="NTC2347" s="35"/>
      <c r="OCX2347" s="35"/>
      <c r="OCY2347" s="35"/>
      <c r="OMT2347" s="35"/>
      <c r="OMU2347" s="35"/>
      <c r="OWP2347" s="35"/>
      <c r="OWQ2347" s="35"/>
      <c r="PGL2347" s="35"/>
      <c r="PGM2347" s="35"/>
      <c r="PQH2347" s="35"/>
      <c r="PQI2347" s="35"/>
      <c r="QAD2347" s="35"/>
      <c r="QAE2347" s="35"/>
      <c r="QJZ2347" s="35"/>
      <c r="QKA2347" s="35"/>
      <c r="QTV2347" s="35"/>
      <c r="QTW2347" s="35"/>
      <c r="RDR2347" s="35"/>
      <c r="RDS2347" s="35"/>
      <c r="RNN2347" s="35"/>
      <c r="RNO2347" s="35"/>
      <c r="RXJ2347" s="35"/>
      <c r="RXK2347" s="35"/>
      <c r="SHF2347" s="35"/>
      <c r="SHG2347" s="35"/>
      <c r="SRB2347" s="35"/>
      <c r="SRC2347" s="35"/>
      <c r="TAX2347" s="35"/>
      <c r="TAY2347" s="35"/>
      <c r="TKT2347" s="35"/>
      <c r="TKU2347" s="35"/>
      <c r="TUP2347" s="35"/>
      <c r="TUQ2347" s="35"/>
      <c r="UEL2347" s="35"/>
      <c r="UEM2347" s="35"/>
      <c r="UOH2347" s="35"/>
      <c r="UOI2347" s="35"/>
      <c r="UYD2347" s="35"/>
      <c r="UYE2347" s="35"/>
      <c r="VHZ2347" s="35"/>
      <c r="VIA2347" s="35"/>
      <c r="VRV2347" s="35"/>
      <c r="VRW2347" s="35"/>
      <c r="WBR2347" s="35"/>
      <c r="WBS2347" s="35"/>
      <c r="WLN2347" s="35"/>
      <c r="WLO2347" s="35"/>
      <c r="WVJ2347" s="35"/>
      <c r="WVK2347" s="35"/>
    </row>
    <row r="2348" spans="1:771 1026:1795 2050:2819 3074:3843 4098:4867 5122:5891 6146:6915 7170:7939 8194:8963 9218:9987 10242:11011 11266:12035 12290:13059 13314:14083 14338:15107 15362:16131" s="35" customFormat="1" ht="55.2" x14ac:dyDescent="0.3">
      <c r="A2348" s="28">
        <v>222</v>
      </c>
      <c r="B2348" s="29" t="s">
        <v>1794</v>
      </c>
      <c r="C2348" s="30" t="s">
        <v>2317</v>
      </c>
      <c r="D2348" s="31" t="s">
        <v>1851</v>
      </c>
      <c r="E2348" s="32">
        <v>10</v>
      </c>
      <c r="F2348" s="33"/>
      <c r="G2348" s="33"/>
      <c r="H2348" s="112" t="s">
        <v>1795</v>
      </c>
    </row>
    <row r="2349" spans="1:771 1026:1795 2050:2819 3074:3843 4098:4867 5122:5891 6146:6915 7170:7939 8194:8963 9218:9987 10242:11011 11266:12035 12290:13059 13314:14083 14338:15107 15362:16131" s="35" customFormat="1" ht="41.4" x14ac:dyDescent="0.3">
      <c r="A2349" s="36"/>
      <c r="B2349" s="46" t="s">
        <v>2318</v>
      </c>
      <c r="C2349" s="184" t="s">
        <v>14</v>
      </c>
      <c r="D2349" s="39"/>
      <c r="E2349" s="44"/>
      <c r="F2349" s="40"/>
      <c r="G2349" s="41">
        <f>SUM(G2350)</f>
        <v>104040000</v>
      </c>
      <c r="H2349" s="42" t="s">
        <v>107</v>
      </c>
    </row>
    <row r="2350" spans="1:771 1026:1795 2050:2819 3074:3843 4098:4867 5122:5891 6146:6915 7170:7939 8194:8963 9218:9987 10242:11011 11266:12035 12290:13059 13314:14083 14338:15107 15362:16131" s="35" customFormat="1" ht="31.2" x14ac:dyDescent="0.3">
      <c r="A2350" s="36"/>
      <c r="B2350" s="46" t="s">
        <v>1796</v>
      </c>
      <c r="C2350" s="43" t="s">
        <v>55</v>
      </c>
      <c r="D2350" s="39" t="s">
        <v>1851</v>
      </c>
      <c r="E2350" s="44">
        <v>10</v>
      </c>
      <c r="F2350" s="161">
        <v>10404000</v>
      </c>
      <c r="G2350" s="40">
        <f>E2350*F2350</f>
        <v>104040000</v>
      </c>
      <c r="H2350" s="134"/>
    </row>
    <row r="2351" spans="1:771 1026:1795 2050:2819 3074:3843 4098:4867 5122:5891 6146:6915 7170:7939 8194:8963 9218:9987 10242:11011 11266:12035 12290:13059 13314:14083 14338:15107 15362:16131" s="35" customFormat="1" ht="62.4" x14ac:dyDescent="0.3">
      <c r="A2351" s="36"/>
      <c r="B2351" s="46" t="s">
        <v>1797</v>
      </c>
      <c r="C2351" s="47" t="s">
        <v>35</v>
      </c>
      <c r="D2351" s="39"/>
      <c r="E2351" s="1"/>
      <c r="F2351" s="2"/>
      <c r="G2351" s="41">
        <f>SUM(G2352:G2356)</f>
        <v>11282150</v>
      </c>
      <c r="H2351" s="69"/>
    </row>
    <row r="2352" spans="1:771 1026:1795 2050:2819 3074:3843 4098:4867 5122:5891 6146:6915 7170:7939 8194:8963 9218:9987 10242:11011 11266:12035 12290:13059 13314:14083 14338:15107 15362:16131" s="35" customFormat="1" ht="109.2" x14ac:dyDescent="0.3">
      <c r="A2352" s="36"/>
      <c r="B2352" s="50"/>
      <c r="C2352" s="66" t="s">
        <v>1798</v>
      </c>
      <c r="D2352" s="39"/>
      <c r="E2352" s="1"/>
      <c r="F2352" s="2"/>
      <c r="G2352" s="40">
        <f>E2352*F2352</f>
        <v>0</v>
      </c>
      <c r="H2352" s="69"/>
    </row>
    <row r="2353" spans="1:771 1026:1795 2050:2819 3074:3843 4098:4867 5122:5891 6146:6915 7170:7939 8194:8963 9218:9987 10242:11011 11266:12035 12290:13059 13314:14083 14338:15107 15362:16131" s="35" customFormat="1" x14ac:dyDescent="0.3">
      <c r="A2353" s="36"/>
      <c r="B2353" s="50"/>
      <c r="C2353" s="48" t="s">
        <v>15</v>
      </c>
      <c r="D2353" s="39"/>
      <c r="E2353" s="1"/>
      <c r="F2353" s="2"/>
      <c r="G2353" s="40">
        <f>E2353*F2353</f>
        <v>0</v>
      </c>
      <c r="H2353" s="69"/>
    </row>
    <row r="2354" spans="1:771 1026:1795 2050:2819 3074:3843 4098:4867 5122:5891 6146:6915 7170:7939 8194:8963 9218:9987 10242:11011 11266:12035 12290:13059 13314:14083 14338:15107 15362:16131" s="35" customFormat="1" ht="41.4" x14ac:dyDescent="0.3">
      <c r="A2354" s="36"/>
      <c r="B2354" s="50"/>
      <c r="C2354" s="48" t="s">
        <v>1775</v>
      </c>
      <c r="D2354" s="39" t="s">
        <v>891</v>
      </c>
      <c r="E2354" s="1">
        <f>(1.25+1.2)*5*0.5</f>
        <v>6.125</v>
      </c>
      <c r="F2354" s="2">
        <f>3592000*40%</f>
        <v>1436800</v>
      </c>
      <c r="G2354" s="40">
        <f>E2354*F2354</f>
        <v>8800400</v>
      </c>
      <c r="H2354" s="134" t="s">
        <v>2572</v>
      </c>
    </row>
    <row r="2355" spans="1:771 1026:1795 2050:2819 3074:3843 4098:4867 5122:5891 6146:6915 7170:7939 8194:8963 9218:9987 10242:11011 11266:12035 12290:13059 13314:14083 14338:15107 15362:16131" s="35" customFormat="1" x14ac:dyDescent="0.3">
      <c r="A2355" s="36"/>
      <c r="B2355" s="50"/>
      <c r="C2355" s="50" t="s">
        <v>1799</v>
      </c>
      <c r="D2355" s="39" t="s">
        <v>891</v>
      </c>
      <c r="E2355" s="1">
        <f>(0.85+0.9)*5*0.5</f>
        <v>4.375</v>
      </c>
      <c r="F2355" s="2">
        <v>258000</v>
      </c>
      <c r="G2355" s="40">
        <f>E2355*F2355</f>
        <v>1128750</v>
      </c>
      <c r="H2355" s="52"/>
    </row>
    <row r="2356" spans="1:771 1026:1795 2050:2819 3074:3843 4098:4867 5122:5891 6146:6915 7170:7939 8194:8963 9218:9987 10242:11011 11266:12035 12290:13059 13314:14083 14338:15107 15362:16131" s="35" customFormat="1" x14ac:dyDescent="0.3">
      <c r="A2356" s="36"/>
      <c r="B2356" s="50"/>
      <c r="C2356" s="50" t="s">
        <v>900</v>
      </c>
      <c r="D2356" s="39" t="s">
        <v>891</v>
      </c>
      <c r="E2356" s="1">
        <f>10*3.3</f>
        <v>33</v>
      </c>
      <c r="F2356" s="2">
        <v>41000</v>
      </c>
      <c r="G2356" s="40">
        <f>E2356*F2356</f>
        <v>1353000</v>
      </c>
      <c r="H2356" s="52"/>
    </row>
    <row r="2357" spans="1:771 1026:1795 2050:2819 3074:3843 4098:4867 5122:5891 6146:6915 7170:7939 8194:8963 9218:9987 10242:11011 11266:12035 12290:13059 13314:14083 14338:15107 15362:16131" s="35" customFormat="1" x14ac:dyDescent="0.3">
      <c r="A2357" s="36"/>
      <c r="B2357" s="185"/>
      <c r="C2357" s="185" t="s">
        <v>23</v>
      </c>
      <c r="D2357" s="39"/>
      <c r="E2357" s="1"/>
      <c r="F2357" s="2"/>
      <c r="G2357" s="41">
        <f>SUM(G2358)</f>
        <v>3060000</v>
      </c>
      <c r="H2357" s="69"/>
    </row>
    <row r="2358" spans="1:771 1026:1795 2050:2819 3074:3843 4098:4867 5122:5891 6146:6915 7170:7939 8194:8963 9218:9987 10242:11011 11266:12035 12290:13059 13314:14083 14338:15107 15362:16131" s="35" customFormat="1" x14ac:dyDescent="0.3">
      <c r="A2358" s="36"/>
      <c r="B2358" s="185"/>
      <c r="C2358" s="50" t="s">
        <v>24</v>
      </c>
      <c r="D2358" s="39" t="s">
        <v>25</v>
      </c>
      <c r="E2358" s="1">
        <f>1*30*6</f>
        <v>180</v>
      </c>
      <c r="F2358" s="2">
        <v>17000</v>
      </c>
      <c r="G2358" s="40">
        <f>E2358*F2358</f>
        <v>3060000</v>
      </c>
      <c r="H2358" s="134"/>
    </row>
    <row r="2359" spans="1:771 1026:1795 2050:2819 3074:3843 4098:4867 5122:5891 6146:6915 7170:7939 8194:8963 9218:9987 10242:11011 11266:12035 12290:13059 13314:14083 14338:15107 15362:16131" s="35" customFormat="1" ht="65.400000000000006" thickBot="1" x14ac:dyDescent="0.35">
      <c r="A2359" s="53"/>
      <c r="B2359" s="54"/>
      <c r="C2359" s="55" t="s">
        <v>2331</v>
      </c>
      <c r="D2359" s="56"/>
      <c r="E2359" s="5"/>
      <c r="F2359" s="6"/>
      <c r="G2359" s="57"/>
      <c r="H2359" s="186"/>
    </row>
    <row r="2360" spans="1:771 1026:1795 2050:2819 3074:3843 4098:4867 5122:5891 6146:6915 7170:7939 8194:8963 9218:9987 10242:11011 11266:12035 12290:13059 13314:14083 14338:15107 15362:16131" s="59" customFormat="1" ht="31.8" thickBot="1" x14ac:dyDescent="0.35">
      <c r="A2360" s="154"/>
      <c r="B2360" s="155" t="s">
        <v>26</v>
      </c>
      <c r="C2360" s="156"/>
      <c r="D2360" s="154"/>
      <c r="E2360" s="157"/>
      <c r="F2360" s="158"/>
      <c r="G2360" s="159">
        <f>SUM(G2348:G2359)/2</f>
        <v>118382150</v>
      </c>
      <c r="H2360" s="160"/>
      <c r="IX2360" s="35"/>
      <c r="IY2360" s="35"/>
      <c r="ST2360" s="35"/>
      <c r="SU2360" s="35"/>
      <c r="ACP2360" s="35"/>
      <c r="ACQ2360" s="35"/>
      <c r="AML2360" s="35"/>
      <c r="AMM2360" s="35"/>
      <c r="AWH2360" s="35"/>
      <c r="AWI2360" s="35"/>
      <c r="BGD2360" s="35"/>
      <c r="BGE2360" s="35"/>
      <c r="BPZ2360" s="35"/>
      <c r="BQA2360" s="35"/>
      <c r="BZV2360" s="35"/>
      <c r="BZW2360" s="35"/>
      <c r="CJR2360" s="35"/>
      <c r="CJS2360" s="35"/>
      <c r="CTN2360" s="35"/>
      <c r="CTO2360" s="35"/>
      <c r="DDJ2360" s="35"/>
      <c r="DDK2360" s="35"/>
      <c r="DNF2360" s="35"/>
      <c r="DNG2360" s="35"/>
      <c r="DXB2360" s="35"/>
      <c r="DXC2360" s="35"/>
      <c r="EGX2360" s="35"/>
      <c r="EGY2360" s="35"/>
      <c r="EQT2360" s="35"/>
      <c r="EQU2360" s="35"/>
      <c r="FAP2360" s="35"/>
      <c r="FAQ2360" s="35"/>
      <c r="FKL2360" s="35"/>
      <c r="FKM2360" s="35"/>
      <c r="FUH2360" s="35"/>
      <c r="FUI2360" s="35"/>
      <c r="GED2360" s="35"/>
      <c r="GEE2360" s="35"/>
      <c r="GNZ2360" s="35"/>
      <c r="GOA2360" s="35"/>
      <c r="GXV2360" s="35"/>
      <c r="GXW2360" s="35"/>
      <c r="HHR2360" s="35"/>
      <c r="HHS2360" s="35"/>
      <c r="HRN2360" s="35"/>
      <c r="HRO2360" s="35"/>
      <c r="IBJ2360" s="35"/>
      <c r="IBK2360" s="35"/>
      <c r="ILF2360" s="35"/>
      <c r="ILG2360" s="35"/>
      <c r="IVB2360" s="35"/>
      <c r="IVC2360" s="35"/>
      <c r="JEX2360" s="35"/>
      <c r="JEY2360" s="35"/>
      <c r="JOT2360" s="35"/>
      <c r="JOU2360" s="35"/>
      <c r="JYP2360" s="35"/>
      <c r="JYQ2360" s="35"/>
      <c r="KIL2360" s="35"/>
      <c r="KIM2360" s="35"/>
      <c r="KSH2360" s="35"/>
      <c r="KSI2360" s="35"/>
      <c r="LCD2360" s="35"/>
      <c r="LCE2360" s="35"/>
      <c r="LLZ2360" s="35"/>
      <c r="LMA2360" s="35"/>
      <c r="LVV2360" s="35"/>
      <c r="LVW2360" s="35"/>
      <c r="MFR2360" s="35"/>
      <c r="MFS2360" s="35"/>
      <c r="MPN2360" s="35"/>
      <c r="MPO2360" s="35"/>
      <c r="MZJ2360" s="35"/>
      <c r="MZK2360" s="35"/>
      <c r="NJF2360" s="35"/>
      <c r="NJG2360" s="35"/>
      <c r="NTB2360" s="35"/>
      <c r="NTC2360" s="35"/>
      <c r="OCX2360" s="35"/>
      <c r="OCY2360" s="35"/>
      <c r="OMT2360" s="35"/>
      <c r="OMU2360" s="35"/>
      <c r="OWP2360" s="35"/>
      <c r="OWQ2360" s="35"/>
      <c r="PGL2360" s="35"/>
      <c r="PGM2360" s="35"/>
      <c r="PQH2360" s="35"/>
      <c r="PQI2360" s="35"/>
      <c r="QAD2360" s="35"/>
      <c r="QAE2360" s="35"/>
      <c r="QJZ2360" s="35"/>
      <c r="QKA2360" s="35"/>
      <c r="QTV2360" s="35"/>
      <c r="QTW2360" s="35"/>
      <c r="RDR2360" s="35"/>
      <c r="RDS2360" s="35"/>
      <c r="RNN2360" s="35"/>
      <c r="RNO2360" s="35"/>
      <c r="RXJ2360" s="35"/>
      <c r="RXK2360" s="35"/>
      <c r="SHF2360" s="35"/>
      <c r="SHG2360" s="35"/>
      <c r="SRB2360" s="35"/>
      <c r="SRC2360" s="35"/>
      <c r="TAX2360" s="35"/>
      <c r="TAY2360" s="35"/>
      <c r="TKT2360" s="35"/>
      <c r="TKU2360" s="35"/>
      <c r="TUP2360" s="35"/>
      <c r="TUQ2360" s="35"/>
      <c r="UEL2360" s="35"/>
      <c r="UEM2360" s="35"/>
      <c r="UOH2360" s="35"/>
      <c r="UOI2360" s="35"/>
      <c r="UYD2360" s="35"/>
      <c r="UYE2360" s="35"/>
      <c r="VHZ2360" s="35"/>
      <c r="VIA2360" s="35"/>
      <c r="VRV2360" s="35"/>
      <c r="VRW2360" s="35"/>
      <c r="WBR2360" s="35"/>
      <c r="WBS2360" s="35"/>
      <c r="WLN2360" s="35"/>
      <c r="WLO2360" s="35"/>
      <c r="WVJ2360" s="35"/>
      <c r="WVK2360" s="35"/>
    </row>
    <row r="2361" spans="1:771 1026:1795 2050:2819 3074:3843 4098:4867 5122:5891 6146:6915 7170:7939 8194:8963 9218:9987 10242:11011 11266:12035 12290:13059 13314:14083 14338:15107 15362:16131" s="35" customFormat="1" ht="93.6" x14ac:dyDescent="0.3">
      <c r="A2361" s="28">
        <v>223</v>
      </c>
      <c r="B2361" s="29" t="s">
        <v>1800</v>
      </c>
      <c r="C2361" s="30" t="s">
        <v>2316</v>
      </c>
      <c r="D2361" s="31" t="s">
        <v>13</v>
      </c>
      <c r="E2361" s="32">
        <v>10</v>
      </c>
      <c r="F2361" s="33"/>
      <c r="G2361" s="33"/>
      <c r="H2361" s="34" t="s">
        <v>1801</v>
      </c>
    </row>
    <row r="2362" spans="1:771 1026:1795 2050:2819 3074:3843 4098:4867 5122:5891 6146:6915 7170:7939 8194:8963 9218:9987 10242:11011 11266:12035 12290:13059 13314:14083 14338:15107 15362:16131" s="35" customFormat="1" ht="41.4" x14ac:dyDescent="0.3">
      <c r="A2362" s="36"/>
      <c r="B2362" s="37" t="s">
        <v>1802</v>
      </c>
      <c r="C2362" s="38" t="s">
        <v>14</v>
      </c>
      <c r="D2362" s="39"/>
      <c r="E2362" s="44"/>
      <c r="F2362" s="40"/>
      <c r="G2362" s="41">
        <f>SUM(G2363)</f>
        <v>104040000</v>
      </c>
      <c r="H2362" s="42" t="s">
        <v>107</v>
      </c>
    </row>
    <row r="2363" spans="1:771 1026:1795 2050:2819 3074:3843 4098:4867 5122:5891 6146:6915 7170:7939 8194:8963 9218:9987 10242:11011 11266:12035 12290:13059 13314:14083 14338:15107 15362:16131" s="35" customFormat="1" ht="31.2" x14ac:dyDescent="0.3">
      <c r="A2363" s="36"/>
      <c r="B2363" s="37" t="s">
        <v>1803</v>
      </c>
      <c r="C2363" s="43" t="s">
        <v>55</v>
      </c>
      <c r="D2363" s="39"/>
      <c r="E2363" s="44">
        <v>10</v>
      </c>
      <c r="F2363" s="161">
        <v>10404000</v>
      </c>
      <c r="G2363" s="40">
        <f>E2363*F2363</f>
        <v>104040000</v>
      </c>
      <c r="H2363" s="42"/>
    </row>
    <row r="2364" spans="1:771 1026:1795 2050:2819 3074:3843 4098:4867 5122:5891 6146:6915 7170:7939 8194:8963 9218:9987 10242:11011 11266:12035 12290:13059 13314:14083 14338:15107 15362:16131" s="35" customFormat="1" ht="78" x14ac:dyDescent="0.3">
      <c r="A2364" s="36"/>
      <c r="B2364" s="46" t="s">
        <v>1804</v>
      </c>
      <c r="C2364" s="47" t="s">
        <v>35</v>
      </c>
      <c r="D2364" s="39"/>
      <c r="E2364" s="44"/>
      <c r="F2364" s="40"/>
      <c r="G2364" s="41">
        <f>SUM(G2365:G2368)</f>
        <v>10739316</v>
      </c>
      <c r="H2364" s="42"/>
    </row>
    <row r="2365" spans="1:771 1026:1795 2050:2819 3074:3843 4098:4867 5122:5891 6146:6915 7170:7939 8194:8963 9218:9987 10242:11011 11266:12035 12290:13059 13314:14083 14338:15107 15362:16131" s="35" customFormat="1" ht="109.2" x14ac:dyDescent="0.3">
      <c r="A2365" s="36"/>
      <c r="B2365" s="37" t="s">
        <v>1805</v>
      </c>
      <c r="C2365" s="66" t="s">
        <v>1806</v>
      </c>
      <c r="D2365" s="39"/>
      <c r="E2365" s="44"/>
      <c r="F2365" s="40"/>
      <c r="G2365" s="40">
        <f>E2365*F2365</f>
        <v>0</v>
      </c>
      <c r="H2365" s="42"/>
    </row>
    <row r="2366" spans="1:771 1026:1795 2050:2819 3074:3843 4098:4867 5122:5891 6146:6915 7170:7939 8194:8963 9218:9987 10242:11011 11266:12035 12290:13059 13314:14083 14338:15107 15362:16131" s="35" customFormat="1" x14ac:dyDescent="0.3">
      <c r="A2366" s="36"/>
      <c r="B2366" s="37"/>
      <c r="C2366" s="48" t="s">
        <v>15</v>
      </c>
      <c r="D2366" s="39"/>
      <c r="E2366" s="44"/>
      <c r="F2366" s="40"/>
      <c r="G2366" s="40">
        <f>E2366*F2366</f>
        <v>0</v>
      </c>
      <c r="H2366" s="42"/>
    </row>
    <row r="2367" spans="1:771 1026:1795 2050:2819 3074:3843 4098:4867 5122:5891 6146:6915 7170:7939 8194:8963 9218:9987 10242:11011 11266:12035 12290:13059 13314:14083 14338:15107 15362:16131" s="35" customFormat="1" ht="41.4" x14ac:dyDescent="0.3">
      <c r="A2367" s="36"/>
      <c r="B2367" s="37"/>
      <c r="C2367" s="48" t="s">
        <v>1775</v>
      </c>
      <c r="D2367" s="39" t="s">
        <v>891</v>
      </c>
      <c r="E2367" s="44">
        <f>(1.2+1.15)*5.4*0.5</f>
        <v>6.3449999999999998</v>
      </c>
      <c r="F2367" s="40">
        <f>3592000*40%</f>
        <v>1436800</v>
      </c>
      <c r="G2367" s="40">
        <f>E2367*F2367</f>
        <v>9116496</v>
      </c>
      <c r="H2367" s="42" t="s">
        <v>2573</v>
      </c>
    </row>
    <row r="2368" spans="1:771 1026:1795 2050:2819 3074:3843 4098:4867 5122:5891 6146:6915 7170:7939 8194:8963 9218:9987 10242:11011 11266:12035 12290:13059 13314:14083 14338:15107 15362:16131" s="35" customFormat="1" x14ac:dyDescent="0.3">
      <c r="A2368" s="36"/>
      <c r="B2368" s="37"/>
      <c r="C2368" s="50" t="s">
        <v>1799</v>
      </c>
      <c r="D2368" s="39" t="s">
        <v>891</v>
      </c>
      <c r="E2368" s="44">
        <f>(0.9+0.95)*6.8*0.5</f>
        <v>6.29</v>
      </c>
      <c r="F2368" s="40">
        <v>258000</v>
      </c>
      <c r="G2368" s="40">
        <f>E2368*F2368</f>
        <v>1622820</v>
      </c>
      <c r="H2368" s="42"/>
    </row>
    <row r="2369" spans="1:771 1026:1795 2050:2819 3074:3843 4098:4867 5122:5891 6146:6915 7170:7939 8194:8963 9218:9987 10242:11011 11266:12035 12290:13059 13314:14083 14338:15107 15362:16131" s="35" customFormat="1" x14ac:dyDescent="0.3">
      <c r="A2369" s="36"/>
      <c r="B2369" s="46"/>
      <c r="C2369" s="51" t="s">
        <v>23</v>
      </c>
      <c r="D2369" s="39"/>
      <c r="E2369" s="1"/>
      <c r="F2369" s="2"/>
      <c r="G2369" s="41">
        <f>SUM(G2370)</f>
        <v>3060000</v>
      </c>
      <c r="H2369" s="52"/>
    </row>
    <row r="2370" spans="1:771 1026:1795 2050:2819 3074:3843 4098:4867 5122:5891 6146:6915 7170:7939 8194:8963 9218:9987 10242:11011 11266:12035 12290:13059 13314:14083 14338:15107 15362:16131" s="35" customFormat="1" x14ac:dyDescent="0.3">
      <c r="A2370" s="36"/>
      <c r="B2370" s="46"/>
      <c r="C2370" s="50" t="s">
        <v>24</v>
      </c>
      <c r="D2370" s="39" t="s">
        <v>25</v>
      </c>
      <c r="E2370" s="1">
        <f>1*30*6</f>
        <v>180</v>
      </c>
      <c r="F2370" s="2">
        <v>17000</v>
      </c>
      <c r="G2370" s="40">
        <f>E2370*F2370</f>
        <v>3060000</v>
      </c>
      <c r="H2370" s="42"/>
    </row>
    <row r="2371" spans="1:771 1026:1795 2050:2819 3074:3843 4098:4867 5122:5891 6146:6915 7170:7939 8194:8963 9218:9987 10242:11011 11266:12035 12290:13059 13314:14083 14338:15107 15362:16131" s="35" customFormat="1" ht="65.400000000000006" thickBot="1" x14ac:dyDescent="0.35">
      <c r="A2371" s="53"/>
      <c r="B2371" s="54"/>
      <c r="C2371" s="55" t="s">
        <v>2331</v>
      </c>
      <c r="D2371" s="56"/>
      <c r="E2371" s="5"/>
      <c r="F2371" s="6"/>
      <c r="G2371" s="57"/>
      <c r="H2371" s="58"/>
    </row>
    <row r="2372" spans="1:771 1026:1795 2050:2819 3074:3843 4098:4867 5122:5891 6146:6915 7170:7939 8194:8963 9218:9987 10242:11011 11266:12035 12290:13059 13314:14083 14338:15107 15362:16131" s="59" customFormat="1" ht="31.8" thickBot="1" x14ac:dyDescent="0.35">
      <c r="A2372" s="154"/>
      <c r="B2372" s="155" t="s">
        <v>26</v>
      </c>
      <c r="C2372" s="156"/>
      <c r="D2372" s="154"/>
      <c r="E2372" s="157"/>
      <c r="F2372" s="158"/>
      <c r="G2372" s="159">
        <f>SUM(G2361:G2371)/2</f>
        <v>117839316</v>
      </c>
      <c r="H2372" s="160"/>
      <c r="IX2372" s="35"/>
      <c r="IY2372" s="35"/>
      <c r="ST2372" s="35"/>
      <c r="SU2372" s="35"/>
      <c r="ACP2372" s="35"/>
      <c r="ACQ2372" s="35"/>
      <c r="AML2372" s="35"/>
      <c r="AMM2372" s="35"/>
      <c r="AWH2372" s="35"/>
      <c r="AWI2372" s="35"/>
      <c r="BGD2372" s="35"/>
      <c r="BGE2372" s="35"/>
      <c r="BPZ2372" s="35"/>
      <c r="BQA2372" s="35"/>
      <c r="BZV2372" s="35"/>
      <c r="BZW2372" s="35"/>
      <c r="CJR2372" s="35"/>
      <c r="CJS2372" s="35"/>
      <c r="CTN2372" s="35"/>
      <c r="CTO2372" s="35"/>
      <c r="DDJ2372" s="35"/>
      <c r="DDK2372" s="35"/>
      <c r="DNF2372" s="35"/>
      <c r="DNG2372" s="35"/>
      <c r="DXB2372" s="35"/>
      <c r="DXC2372" s="35"/>
      <c r="EGX2372" s="35"/>
      <c r="EGY2372" s="35"/>
      <c r="EQT2372" s="35"/>
      <c r="EQU2372" s="35"/>
      <c r="FAP2372" s="35"/>
      <c r="FAQ2372" s="35"/>
      <c r="FKL2372" s="35"/>
      <c r="FKM2372" s="35"/>
      <c r="FUH2372" s="35"/>
      <c r="FUI2372" s="35"/>
      <c r="GED2372" s="35"/>
      <c r="GEE2372" s="35"/>
      <c r="GNZ2372" s="35"/>
      <c r="GOA2372" s="35"/>
      <c r="GXV2372" s="35"/>
      <c r="GXW2372" s="35"/>
      <c r="HHR2372" s="35"/>
      <c r="HHS2372" s="35"/>
      <c r="HRN2372" s="35"/>
      <c r="HRO2372" s="35"/>
      <c r="IBJ2372" s="35"/>
      <c r="IBK2372" s="35"/>
      <c r="ILF2372" s="35"/>
      <c r="ILG2372" s="35"/>
      <c r="IVB2372" s="35"/>
      <c r="IVC2372" s="35"/>
      <c r="JEX2372" s="35"/>
      <c r="JEY2372" s="35"/>
      <c r="JOT2372" s="35"/>
      <c r="JOU2372" s="35"/>
      <c r="JYP2372" s="35"/>
      <c r="JYQ2372" s="35"/>
      <c r="KIL2372" s="35"/>
      <c r="KIM2372" s="35"/>
      <c r="KSH2372" s="35"/>
      <c r="KSI2372" s="35"/>
      <c r="LCD2372" s="35"/>
      <c r="LCE2372" s="35"/>
      <c r="LLZ2372" s="35"/>
      <c r="LMA2372" s="35"/>
      <c r="LVV2372" s="35"/>
      <c r="LVW2372" s="35"/>
      <c r="MFR2372" s="35"/>
      <c r="MFS2372" s="35"/>
      <c r="MPN2372" s="35"/>
      <c r="MPO2372" s="35"/>
      <c r="MZJ2372" s="35"/>
      <c r="MZK2372" s="35"/>
      <c r="NJF2372" s="35"/>
      <c r="NJG2372" s="35"/>
      <c r="NTB2372" s="35"/>
      <c r="NTC2372" s="35"/>
      <c r="OCX2372" s="35"/>
      <c r="OCY2372" s="35"/>
      <c r="OMT2372" s="35"/>
      <c r="OMU2372" s="35"/>
      <c r="OWP2372" s="35"/>
      <c r="OWQ2372" s="35"/>
      <c r="PGL2372" s="35"/>
      <c r="PGM2372" s="35"/>
      <c r="PQH2372" s="35"/>
      <c r="PQI2372" s="35"/>
      <c r="QAD2372" s="35"/>
      <c r="QAE2372" s="35"/>
      <c r="QJZ2372" s="35"/>
      <c r="QKA2372" s="35"/>
      <c r="QTV2372" s="35"/>
      <c r="QTW2372" s="35"/>
      <c r="RDR2372" s="35"/>
      <c r="RDS2372" s="35"/>
      <c r="RNN2372" s="35"/>
      <c r="RNO2372" s="35"/>
      <c r="RXJ2372" s="35"/>
      <c r="RXK2372" s="35"/>
      <c r="SHF2372" s="35"/>
      <c r="SHG2372" s="35"/>
      <c r="SRB2372" s="35"/>
      <c r="SRC2372" s="35"/>
      <c r="TAX2372" s="35"/>
      <c r="TAY2372" s="35"/>
      <c r="TKT2372" s="35"/>
      <c r="TKU2372" s="35"/>
      <c r="TUP2372" s="35"/>
      <c r="TUQ2372" s="35"/>
      <c r="UEL2372" s="35"/>
      <c r="UEM2372" s="35"/>
      <c r="UOH2372" s="35"/>
      <c r="UOI2372" s="35"/>
      <c r="UYD2372" s="35"/>
      <c r="UYE2372" s="35"/>
      <c r="VHZ2372" s="35"/>
      <c r="VIA2372" s="35"/>
      <c r="VRV2372" s="35"/>
      <c r="VRW2372" s="35"/>
      <c r="WBR2372" s="35"/>
      <c r="WBS2372" s="35"/>
      <c r="WLN2372" s="35"/>
      <c r="WLO2372" s="35"/>
      <c r="WVJ2372" s="35"/>
      <c r="WVK2372" s="35"/>
    </row>
    <row r="2373" spans="1:771 1026:1795 2050:2819 3074:3843 4098:4867 5122:5891 6146:6915 7170:7939 8194:8963 9218:9987 10242:11011 11266:12035 12290:13059 13314:14083 14338:15107 15362:16131" s="35" customFormat="1" ht="55.2" x14ac:dyDescent="0.3">
      <c r="A2373" s="28">
        <v>224</v>
      </c>
      <c r="B2373" s="29" t="s">
        <v>1807</v>
      </c>
      <c r="C2373" s="30" t="s">
        <v>2310</v>
      </c>
      <c r="D2373" s="31" t="s">
        <v>13</v>
      </c>
      <c r="E2373" s="32">
        <v>10</v>
      </c>
      <c r="F2373" s="33"/>
      <c r="G2373" s="33"/>
      <c r="H2373" s="34" t="s">
        <v>1808</v>
      </c>
    </row>
    <row r="2374" spans="1:771 1026:1795 2050:2819 3074:3843 4098:4867 5122:5891 6146:6915 7170:7939 8194:8963 9218:9987 10242:11011 11266:12035 12290:13059 13314:14083 14338:15107 15362:16131" s="35" customFormat="1" ht="41.4" x14ac:dyDescent="0.3">
      <c r="A2374" s="36"/>
      <c r="B2374" s="37" t="s">
        <v>1809</v>
      </c>
      <c r="C2374" s="38" t="s">
        <v>14</v>
      </c>
      <c r="D2374" s="39"/>
      <c r="E2374" s="44"/>
      <c r="F2374" s="40"/>
      <c r="G2374" s="41">
        <f>SUM(G2375)</f>
        <v>104040000</v>
      </c>
      <c r="H2374" s="42" t="s">
        <v>107</v>
      </c>
    </row>
    <row r="2375" spans="1:771 1026:1795 2050:2819 3074:3843 4098:4867 5122:5891 6146:6915 7170:7939 8194:8963 9218:9987 10242:11011 11266:12035 12290:13059 13314:14083 14338:15107 15362:16131" s="35" customFormat="1" ht="31.2" x14ac:dyDescent="0.3">
      <c r="A2375" s="36"/>
      <c r="B2375" s="37" t="s">
        <v>1810</v>
      </c>
      <c r="C2375" s="43" t="s">
        <v>55</v>
      </c>
      <c r="D2375" s="39" t="s">
        <v>13</v>
      </c>
      <c r="E2375" s="44">
        <v>10</v>
      </c>
      <c r="F2375" s="153">
        <v>10404000</v>
      </c>
      <c r="G2375" s="40">
        <f>E2375*F2375</f>
        <v>104040000</v>
      </c>
      <c r="H2375" s="42"/>
    </row>
    <row r="2376" spans="1:771 1026:1795 2050:2819 3074:3843 4098:4867 5122:5891 6146:6915 7170:7939 8194:8963 9218:9987 10242:11011 11266:12035 12290:13059 13314:14083 14338:15107 15362:16131" s="35" customFormat="1" ht="78" x14ac:dyDescent="0.3">
      <c r="A2376" s="36"/>
      <c r="B2376" s="46" t="s">
        <v>1811</v>
      </c>
      <c r="C2376" s="47" t="s">
        <v>35</v>
      </c>
      <c r="D2376" s="39"/>
      <c r="E2376" s="44"/>
      <c r="F2376" s="40"/>
      <c r="G2376" s="41">
        <f>SUM(G2377:G2383)</f>
        <v>8139840</v>
      </c>
      <c r="H2376" s="52"/>
    </row>
    <row r="2377" spans="1:771 1026:1795 2050:2819 3074:3843 4098:4867 5122:5891 6146:6915 7170:7939 8194:8963 9218:9987 10242:11011 11266:12035 12290:13059 13314:14083 14338:15107 15362:16131" s="35" customFormat="1" ht="93.6" x14ac:dyDescent="0.3">
      <c r="A2377" s="36"/>
      <c r="B2377" s="50" t="s">
        <v>1812</v>
      </c>
      <c r="C2377" s="66" t="s">
        <v>1813</v>
      </c>
      <c r="D2377" s="39"/>
      <c r="E2377" s="44"/>
      <c r="F2377" s="40"/>
      <c r="G2377" s="40">
        <f t="shared" ref="G2377:G2383" si="33">E2377*F2377</f>
        <v>0</v>
      </c>
      <c r="H2377" s="52"/>
    </row>
    <row r="2378" spans="1:771 1026:1795 2050:2819 3074:3843 4098:4867 5122:5891 6146:6915 7170:7939 8194:8963 9218:9987 10242:11011 11266:12035 12290:13059 13314:14083 14338:15107 15362:16131" s="35" customFormat="1" x14ac:dyDescent="0.3">
      <c r="A2378" s="36"/>
      <c r="B2378" s="50"/>
      <c r="C2378" s="48" t="s">
        <v>15</v>
      </c>
      <c r="D2378" s="39"/>
      <c r="E2378" s="44"/>
      <c r="F2378" s="40"/>
      <c r="G2378" s="40">
        <f t="shared" si="33"/>
        <v>0</v>
      </c>
      <c r="H2378" s="52"/>
    </row>
    <row r="2379" spans="1:771 1026:1795 2050:2819 3074:3843 4098:4867 5122:5891 6146:6915 7170:7939 8194:8963 9218:9987 10242:11011 11266:12035 12290:13059 13314:14083 14338:15107 15362:16131" s="35" customFormat="1" ht="41.4" x14ac:dyDescent="0.3">
      <c r="A2379" s="36"/>
      <c r="B2379" s="50"/>
      <c r="C2379" s="48" t="s">
        <v>1775</v>
      </c>
      <c r="D2379" s="39" t="s">
        <v>891</v>
      </c>
      <c r="E2379" s="44">
        <f>1.2*4</f>
        <v>4.8</v>
      </c>
      <c r="F2379" s="40">
        <f>3592000*40%</f>
        <v>1436800</v>
      </c>
      <c r="G2379" s="40">
        <f t="shared" si="33"/>
        <v>6896640</v>
      </c>
      <c r="H2379" s="42" t="s">
        <v>2574</v>
      </c>
    </row>
    <row r="2380" spans="1:771 1026:1795 2050:2819 3074:3843 4098:4867 5122:5891 6146:6915 7170:7939 8194:8963 9218:9987 10242:11011 11266:12035 12290:13059 13314:14083 14338:15107 15362:16131" s="35" customFormat="1" ht="78" x14ac:dyDescent="0.3">
      <c r="A2380" s="36"/>
      <c r="B2380" s="50"/>
      <c r="C2380" s="48" t="s">
        <v>1814</v>
      </c>
      <c r="D2380" s="39"/>
      <c r="E2380" s="44"/>
      <c r="F2380" s="40">
        <f>540000*40%</f>
        <v>216000</v>
      </c>
      <c r="G2380" s="40">
        <f t="shared" si="33"/>
        <v>0</v>
      </c>
      <c r="H2380" s="52"/>
    </row>
    <row r="2381" spans="1:771 1026:1795 2050:2819 3074:3843 4098:4867 5122:5891 6146:6915 7170:7939 8194:8963 9218:9987 10242:11011 11266:12035 12290:13059 13314:14083 14338:15107 15362:16131" s="35" customFormat="1" x14ac:dyDescent="0.3">
      <c r="A2381" s="36"/>
      <c r="B2381" s="50"/>
      <c r="C2381" s="48" t="s">
        <v>15</v>
      </c>
      <c r="D2381" s="39"/>
      <c r="E2381" s="44"/>
      <c r="F2381" s="40"/>
      <c r="G2381" s="40">
        <f t="shared" si="33"/>
        <v>0</v>
      </c>
      <c r="H2381" s="52"/>
    </row>
    <row r="2382" spans="1:771 1026:1795 2050:2819 3074:3843 4098:4867 5122:5891 6146:6915 7170:7939 8194:8963 9218:9987 10242:11011 11266:12035 12290:13059 13314:14083 14338:15107 15362:16131" s="35" customFormat="1" ht="41.4" x14ac:dyDescent="0.3">
      <c r="A2382" s="36"/>
      <c r="B2382" s="50"/>
      <c r="C2382" s="48" t="s">
        <v>1739</v>
      </c>
      <c r="D2382" s="39" t="s">
        <v>891</v>
      </c>
      <c r="E2382" s="44">
        <f>(0.8*5)+(1.2*1)</f>
        <v>5.2</v>
      </c>
      <c r="F2382" s="40">
        <f>540000*40%</f>
        <v>216000</v>
      </c>
      <c r="G2382" s="40">
        <f t="shared" si="33"/>
        <v>1123200</v>
      </c>
      <c r="H2382" s="42" t="s">
        <v>2575</v>
      </c>
    </row>
    <row r="2383" spans="1:771 1026:1795 2050:2819 3074:3843 4098:4867 5122:5891 6146:6915 7170:7939 8194:8963 9218:9987 10242:11011 11266:12035 12290:13059 13314:14083 14338:15107 15362:16131" s="35" customFormat="1" x14ac:dyDescent="0.3">
      <c r="A2383" s="36"/>
      <c r="B2383" s="50"/>
      <c r="C2383" s="48" t="s">
        <v>196</v>
      </c>
      <c r="D2383" s="76" t="s">
        <v>22</v>
      </c>
      <c r="E2383" s="44">
        <v>6</v>
      </c>
      <c r="F2383" s="40">
        <v>20000</v>
      </c>
      <c r="G2383" s="40">
        <f t="shared" si="33"/>
        <v>120000</v>
      </c>
      <c r="H2383" s="52"/>
    </row>
    <row r="2384" spans="1:771 1026:1795 2050:2819 3074:3843 4098:4867 5122:5891 6146:6915 7170:7939 8194:8963 9218:9987 10242:11011 11266:12035 12290:13059 13314:14083 14338:15107 15362:16131" s="35" customFormat="1" x14ac:dyDescent="0.3">
      <c r="A2384" s="36"/>
      <c r="B2384" s="46"/>
      <c r="C2384" s="51" t="s">
        <v>23</v>
      </c>
      <c r="D2384" s="39"/>
      <c r="E2384" s="1"/>
      <c r="F2384" s="2"/>
      <c r="G2384" s="41">
        <f>SUM(G2385)</f>
        <v>3060000</v>
      </c>
      <c r="H2384" s="52"/>
    </row>
    <row r="2385" spans="1:771 1026:1795 2050:2819 3074:3843 4098:4867 5122:5891 6146:6915 7170:7939 8194:8963 9218:9987 10242:11011 11266:12035 12290:13059 13314:14083 14338:15107 15362:16131" s="35" customFormat="1" x14ac:dyDescent="0.3">
      <c r="A2385" s="36"/>
      <c r="B2385" s="46"/>
      <c r="C2385" s="50" t="s">
        <v>24</v>
      </c>
      <c r="D2385" s="39" t="s">
        <v>25</v>
      </c>
      <c r="E2385" s="1">
        <f>1*30*6</f>
        <v>180</v>
      </c>
      <c r="F2385" s="2">
        <v>17000</v>
      </c>
      <c r="G2385" s="40">
        <f>E2385*F2385</f>
        <v>3060000</v>
      </c>
      <c r="H2385" s="42"/>
    </row>
    <row r="2386" spans="1:771 1026:1795 2050:2819 3074:3843 4098:4867 5122:5891 6146:6915 7170:7939 8194:8963 9218:9987 10242:11011 11266:12035 12290:13059 13314:14083 14338:15107 15362:16131" s="35" customFormat="1" ht="65.400000000000006" thickBot="1" x14ac:dyDescent="0.35">
      <c r="A2386" s="53"/>
      <c r="B2386" s="54"/>
      <c r="C2386" s="55" t="s">
        <v>2331</v>
      </c>
      <c r="D2386" s="56"/>
      <c r="E2386" s="5"/>
      <c r="F2386" s="6"/>
      <c r="G2386" s="57"/>
      <c r="H2386" s="58"/>
    </row>
    <row r="2387" spans="1:771 1026:1795 2050:2819 3074:3843 4098:4867 5122:5891 6146:6915 7170:7939 8194:8963 9218:9987 10242:11011 11266:12035 12290:13059 13314:14083 14338:15107 15362:16131" s="59" customFormat="1" ht="31.8" thickBot="1" x14ac:dyDescent="0.35">
      <c r="A2387" s="154"/>
      <c r="B2387" s="155" t="s">
        <v>26</v>
      </c>
      <c r="C2387" s="156"/>
      <c r="D2387" s="154"/>
      <c r="E2387" s="157"/>
      <c r="F2387" s="158"/>
      <c r="G2387" s="159">
        <f>SUM(G2373:G2386)/2</f>
        <v>115239840</v>
      </c>
      <c r="H2387" s="160"/>
      <c r="IX2387" s="35"/>
      <c r="IY2387" s="35"/>
      <c r="ST2387" s="35"/>
      <c r="SU2387" s="35"/>
      <c r="ACP2387" s="35"/>
      <c r="ACQ2387" s="35"/>
      <c r="AML2387" s="35"/>
      <c r="AMM2387" s="35"/>
      <c r="AWH2387" s="35"/>
      <c r="AWI2387" s="35"/>
      <c r="BGD2387" s="35"/>
      <c r="BGE2387" s="35"/>
      <c r="BPZ2387" s="35"/>
      <c r="BQA2387" s="35"/>
      <c r="BZV2387" s="35"/>
      <c r="BZW2387" s="35"/>
      <c r="CJR2387" s="35"/>
      <c r="CJS2387" s="35"/>
      <c r="CTN2387" s="35"/>
      <c r="CTO2387" s="35"/>
      <c r="DDJ2387" s="35"/>
      <c r="DDK2387" s="35"/>
      <c r="DNF2387" s="35"/>
      <c r="DNG2387" s="35"/>
      <c r="DXB2387" s="35"/>
      <c r="DXC2387" s="35"/>
      <c r="EGX2387" s="35"/>
      <c r="EGY2387" s="35"/>
      <c r="EQT2387" s="35"/>
      <c r="EQU2387" s="35"/>
      <c r="FAP2387" s="35"/>
      <c r="FAQ2387" s="35"/>
      <c r="FKL2387" s="35"/>
      <c r="FKM2387" s="35"/>
      <c r="FUH2387" s="35"/>
      <c r="FUI2387" s="35"/>
      <c r="GED2387" s="35"/>
      <c r="GEE2387" s="35"/>
      <c r="GNZ2387" s="35"/>
      <c r="GOA2387" s="35"/>
      <c r="GXV2387" s="35"/>
      <c r="GXW2387" s="35"/>
      <c r="HHR2387" s="35"/>
      <c r="HHS2387" s="35"/>
      <c r="HRN2387" s="35"/>
      <c r="HRO2387" s="35"/>
      <c r="IBJ2387" s="35"/>
      <c r="IBK2387" s="35"/>
      <c r="ILF2387" s="35"/>
      <c r="ILG2387" s="35"/>
      <c r="IVB2387" s="35"/>
      <c r="IVC2387" s="35"/>
      <c r="JEX2387" s="35"/>
      <c r="JEY2387" s="35"/>
      <c r="JOT2387" s="35"/>
      <c r="JOU2387" s="35"/>
      <c r="JYP2387" s="35"/>
      <c r="JYQ2387" s="35"/>
      <c r="KIL2387" s="35"/>
      <c r="KIM2387" s="35"/>
      <c r="KSH2387" s="35"/>
      <c r="KSI2387" s="35"/>
      <c r="LCD2387" s="35"/>
      <c r="LCE2387" s="35"/>
      <c r="LLZ2387" s="35"/>
      <c r="LMA2387" s="35"/>
      <c r="LVV2387" s="35"/>
      <c r="LVW2387" s="35"/>
      <c r="MFR2387" s="35"/>
      <c r="MFS2387" s="35"/>
      <c r="MPN2387" s="35"/>
      <c r="MPO2387" s="35"/>
      <c r="MZJ2387" s="35"/>
      <c r="MZK2387" s="35"/>
      <c r="NJF2387" s="35"/>
      <c r="NJG2387" s="35"/>
      <c r="NTB2387" s="35"/>
      <c r="NTC2387" s="35"/>
      <c r="OCX2387" s="35"/>
      <c r="OCY2387" s="35"/>
      <c r="OMT2387" s="35"/>
      <c r="OMU2387" s="35"/>
      <c r="OWP2387" s="35"/>
      <c r="OWQ2387" s="35"/>
      <c r="PGL2387" s="35"/>
      <c r="PGM2387" s="35"/>
      <c r="PQH2387" s="35"/>
      <c r="PQI2387" s="35"/>
      <c r="QAD2387" s="35"/>
      <c r="QAE2387" s="35"/>
      <c r="QJZ2387" s="35"/>
      <c r="QKA2387" s="35"/>
      <c r="QTV2387" s="35"/>
      <c r="QTW2387" s="35"/>
      <c r="RDR2387" s="35"/>
      <c r="RDS2387" s="35"/>
      <c r="RNN2387" s="35"/>
      <c r="RNO2387" s="35"/>
      <c r="RXJ2387" s="35"/>
      <c r="RXK2387" s="35"/>
      <c r="SHF2387" s="35"/>
      <c r="SHG2387" s="35"/>
      <c r="SRB2387" s="35"/>
      <c r="SRC2387" s="35"/>
      <c r="TAX2387" s="35"/>
      <c r="TAY2387" s="35"/>
      <c r="TKT2387" s="35"/>
      <c r="TKU2387" s="35"/>
      <c r="TUP2387" s="35"/>
      <c r="TUQ2387" s="35"/>
      <c r="UEL2387" s="35"/>
      <c r="UEM2387" s="35"/>
      <c r="UOH2387" s="35"/>
      <c r="UOI2387" s="35"/>
      <c r="UYD2387" s="35"/>
      <c r="UYE2387" s="35"/>
      <c r="VHZ2387" s="35"/>
      <c r="VIA2387" s="35"/>
      <c r="VRV2387" s="35"/>
      <c r="VRW2387" s="35"/>
      <c r="WBR2387" s="35"/>
      <c r="WBS2387" s="35"/>
      <c r="WLN2387" s="35"/>
      <c r="WLO2387" s="35"/>
      <c r="WVJ2387" s="35"/>
      <c r="WVK2387" s="35"/>
    </row>
    <row r="2388" spans="1:771 1026:1795 2050:2819 3074:3843 4098:4867 5122:5891 6146:6915 7170:7939 8194:8963 9218:9987 10242:11011 11266:12035 12290:13059 13314:14083 14338:15107 15362:16131" s="35" customFormat="1" ht="55.2" x14ac:dyDescent="0.3">
      <c r="A2388" s="28">
        <v>225</v>
      </c>
      <c r="B2388" s="29" t="s">
        <v>1830</v>
      </c>
      <c r="C2388" s="30" t="s">
        <v>1831</v>
      </c>
      <c r="D2388" s="31" t="s">
        <v>13</v>
      </c>
      <c r="E2388" s="32">
        <v>30.4</v>
      </c>
      <c r="F2388" s="33"/>
      <c r="G2388" s="33"/>
      <c r="H2388" s="34" t="s">
        <v>1832</v>
      </c>
    </row>
    <row r="2389" spans="1:771 1026:1795 2050:2819 3074:3843 4098:4867 5122:5891 6146:6915 7170:7939 8194:8963 9218:9987 10242:11011 11266:12035 12290:13059 13314:14083 14338:15107 15362:16131" s="35" customFormat="1" ht="27.6" x14ac:dyDescent="0.3">
      <c r="A2389" s="36"/>
      <c r="B2389" s="37" t="s">
        <v>1833</v>
      </c>
      <c r="C2389" s="38" t="s">
        <v>14</v>
      </c>
      <c r="D2389" s="39"/>
      <c r="E2389" s="44"/>
      <c r="F2389" s="40"/>
      <c r="G2389" s="41">
        <f>SUM(G2390)</f>
        <v>592161600</v>
      </c>
      <c r="H2389" s="42" t="s">
        <v>1778</v>
      </c>
    </row>
    <row r="2390" spans="1:771 1026:1795 2050:2819 3074:3843 4098:4867 5122:5891 6146:6915 7170:7939 8194:8963 9218:9987 10242:11011 11266:12035 12290:13059 13314:14083 14338:15107 15362:16131" s="35" customFormat="1" ht="31.2" x14ac:dyDescent="0.3">
      <c r="A2390" s="36"/>
      <c r="B2390" s="37" t="s">
        <v>1834</v>
      </c>
      <c r="C2390" s="48" t="s">
        <v>38</v>
      </c>
      <c r="D2390" s="39" t="s">
        <v>13</v>
      </c>
      <c r="E2390" s="44">
        <v>30.4</v>
      </c>
      <c r="F2390" s="161">
        <v>19479000</v>
      </c>
      <c r="G2390" s="40">
        <f>E2390*F2390</f>
        <v>592161600</v>
      </c>
      <c r="H2390" s="42"/>
    </row>
    <row r="2391" spans="1:771 1026:1795 2050:2819 3074:3843 4098:4867 5122:5891 6146:6915 7170:7939 8194:8963 9218:9987 10242:11011 11266:12035 12290:13059 13314:14083 14338:15107 15362:16131" s="35" customFormat="1" ht="78" x14ac:dyDescent="0.3">
      <c r="A2391" s="36"/>
      <c r="B2391" s="46" t="s">
        <v>1835</v>
      </c>
      <c r="C2391" s="47" t="s">
        <v>35</v>
      </c>
      <c r="D2391" s="39"/>
      <c r="E2391" s="44"/>
      <c r="F2391" s="40"/>
      <c r="G2391" s="41">
        <f>SUM(G2392:G2397)</f>
        <v>27296625</v>
      </c>
      <c r="H2391" s="45"/>
    </row>
    <row r="2392" spans="1:771 1026:1795 2050:2819 3074:3843 4098:4867 5122:5891 6146:6915 7170:7939 8194:8963 9218:9987 10242:11011 11266:12035 12290:13059 13314:14083 14338:15107 15362:16131" s="35" customFormat="1" ht="93.6" x14ac:dyDescent="0.3">
      <c r="A2392" s="36"/>
      <c r="B2392" s="50" t="s">
        <v>1836</v>
      </c>
      <c r="C2392" s="48" t="s">
        <v>1837</v>
      </c>
      <c r="D2392" s="39"/>
      <c r="E2392" s="44"/>
      <c r="F2392" s="40"/>
      <c r="G2392" s="40">
        <f>E2392*F2392</f>
        <v>0</v>
      </c>
      <c r="H2392" s="52"/>
    </row>
    <row r="2393" spans="1:771 1026:1795 2050:2819 3074:3843 4098:4867 5122:5891 6146:6915 7170:7939 8194:8963 9218:9987 10242:11011 11266:12035 12290:13059 13314:14083 14338:15107 15362:16131" s="35" customFormat="1" x14ac:dyDescent="0.3">
      <c r="A2393" s="36"/>
      <c r="B2393" s="46"/>
      <c r="C2393" s="48" t="s">
        <v>15</v>
      </c>
      <c r="D2393" s="39"/>
      <c r="E2393" s="44"/>
      <c r="F2393" s="40"/>
      <c r="G2393" s="40">
        <f>E2393*F2393</f>
        <v>0</v>
      </c>
      <c r="H2393" s="52"/>
    </row>
    <row r="2394" spans="1:771 1026:1795 2050:2819 3074:3843 4098:4867 5122:5891 6146:6915 7170:7939 8194:8963 9218:9987 10242:11011 11266:12035 12290:13059 13314:14083 14338:15107 15362:16131" s="35" customFormat="1" ht="18.600000000000001" x14ac:dyDescent="0.3">
      <c r="A2394" s="36"/>
      <c r="B2394" s="37"/>
      <c r="C2394" s="48" t="s">
        <v>1740</v>
      </c>
      <c r="D2394" s="39" t="s">
        <v>13</v>
      </c>
      <c r="E2394" s="44">
        <f>3.1*14.5</f>
        <v>44.95</v>
      </c>
      <c r="F2394" s="40">
        <v>540000</v>
      </c>
      <c r="G2394" s="40">
        <f>E2394*F2394</f>
        <v>24273000</v>
      </c>
      <c r="H2394" s="20" t="s">
        <v>2375</v>
      </c>
    </row>
    <row r="2395" spans="1:771 1026:1795 2050:2819 3074:3843 4098:4867 5122:5891 6146:6915 7170:7939 8194:8963 9218:9987 10242:11011 11266:12035 12290:13059 13314:14083 14338:15107 15362:16131" s="35" customFormat="1" ht="18.600000000000001" x14ac:dyDescent="0.3">
      <c r="A2395" s="36"/>
      <c r="B2395" s="37"/>
      <c r="C2395" s="48" t="s">
        <v>1838</v>
      </c>
      <c r="D2395" s="39" t="s">
        <v>13</v>
      </c>
      <c r="E2395" s="44">
        <f>0.5*2.4*14.5</f>
        <v>17.399999999999999</v>
      </c>
      <c r="F2395" s="40"/>
      <c r="G2395" s="40">
        <f>E2395*F2395</f>
        <v>0</v>
      </c>
      <c r="H2395" s="52"/>
    </row>
    <row r="2396" spans="1:771 1026:1795 2050:2819 3074:3843 4098:4867 5122:5891 6146:6915 7170:7939 8194:8963 9218:9987 10242:11011 11266:12035 12290:13059 13314:14083 14338:15107 15362:16131" s="35" customFormat="1" ht="31.2" x14ac:dyDescent="0.3">
      <c r="A2396" s="36"/>
      <c r="B2396" s="37"/>
      <c r="C2396" s="48" t="s">
        <v>1839</v>
      </c>
      <c r="D2396" s="39" t="s">
        <v>13</v>
      </c>
      <c r="E2396" s="44">
        <f>1.65*2.5</f>
        <v>4.125</v>
      </c>
      <c r="F2396" s="40">
        <v>733000</v>
      </c>
      <c r="G2396" s="40">
        <f>E2396*F2396</f>
        <v>3023625</v>
      </c>
      <c r="H2396" s="52"/>
    </row>
    <row r="2397" spans="1:771 1026:1795 2050:2819 3074:3843 4098:4867 5122:5891 6146:6915 7170:7939 8194:8963 9218:9987 10242:11011 11266:12035 12290:13059 13314:14083 14338:15107 15362:16131" s="35" customFormat="1" ht="65.400000000000006" thickBot="1" x14ac:dyDescent="0.35">
      <c r="A2397" s="53"/>
      <c r="B2397" s="54"/>
      <c r="C2397" s="55" t="s">
        <v>2331</v>
      </c>
      <c r="D2397" s="56"/>
      <c r="E2397" s="5"/>
      <c r="F2397" s="6"/>
      <c r="G2397" s="57"/>
      <c r="H2397" s="58"/>
    </row>
    <row r="2398" spans="1:771 1026:1795 2050:2819 3074:3843 4098:4867 5122:5891 6146:6915 7170:7939 8194:8963 9218:9987 10242:11011 11266:12035 12290:13059 13314:14083 14338:15107 15362:16131" s="59" customFormat="1" ht="31.8" thickBot="1" x14ac:dyDescent="0.35">
      <c r="A2398" s="154"/>
      <c r="B2398" s="155" t="s">
        <v>26</v>
      </c>
      <c r="C2398" s="156"/>
      <c r="D2398" s="154"/>
      <c r="E2398" s="157"/>
      <c r="F2398" s="158"/>
      <c r="G2398" s="159">
        <f>SUM(G2388:G2397)/2</f>
        <v>619458225</v>
      </c>
      <c r="H2398" s="160"/>
      <c r="IX2398" s="35"/>
      <c r="IY2398" s="35"/>
      <c r="ST2398" s="35"/>
      <c r="SU2398" s="35"/>
      <c r="ACP2398" s="35"/>
      <c r="ACQ2398" s="35"/>
      <c r="AML2398" s="35"/>
      <c r="AMM2398" s="35"/>
      <c r="AWH2398" s="35"/>
      <c r="AWI2398" s="35"/>
      <c r="BGD2398" s="35"/>
      <c r="BGE2398" s="35"/>
      <c r="BPZ2398" s="35"/>
      <c r="BQA2398" s="35"/>
      <c r="BZV2398" s="35"/>
      <c r="BZW2398" s="35"/>
      <c r="CJR2398" s="35"/>
      <c r="CJS2398" s="35"/>
      <c r="CTN2398" s="35"/>
      <c r="CTO2398" s="35"/>
      <c r="DDJ2398" s="35"/>
      <c r="DDK2398" s="35"/>
      <c r="DNF2398" s="35"/>
      <c r="DNG2398" s="35"/>
      <c r="DXB2398" s="35"/>
      <c r="DXC2398" s="35"/>
      <c r="EGX2398" s="35"/>
      <c r="EGY2398" s="35"/>
      <c r="EQT2398" s="35"/>
      <c r="EQU2398" s="35"/>
      <c r="FAP2398" s="35"/>
      <c r="FAQ2398" s="35"/>
      <c r="FKL2398" s="35"/>
      <c r="FKM2398" s="35"/>
      <c r="FUH2398" s="35"/>
      <c r="FUI2398" s="35"/>
      <c r="GED2398" s="35"/>
      <c r="GEE2398" s="35"/>
      <c r="GNZ2398" s="35"/>
      <c r="GOA2398" s="35"/>
      <c r="GXV2398" s="35"/>
      <c r="GXW2398" s="35"/>
      <c r="HHR2398" s="35"/>
      <c r="HHS2398" s="35"/>
      <c r="HRN2398" s="35"/>
      <c r="HRO2398" s="35"/>
      <c r="IBJ2398" s="35"/>
      <c r="IBK2398" s="35"/>
      <c r="ILF2398" s="35"/>
      <c r="ILG2398" s="35"/>
      <c r="IVB2398" s="35"/>
      <c r="IVC2398" s="35"/>
      <c r="JEX2398" s="35"/>
      <c r="JEY2398" s="35"/>
      <c r="JOT2398" s="35"/>
      <c r="JOU2398" s="35"/>
      <c r="JYP2398" s="35"/>
      <c r="JYQ2398" s="35"/>
      <c r="KIL2398" s="35"/>
      <c r="KIM2398" s="35"/>
      <c r="KSH2398" s="35"/>
      <c r="KSI2398" s="35"/>
      <c r="LCD2398" s="35"/>
      <c r="LCE2398" s="35"/>
      <c r="LLZ2398" s="35"/>
      <c r="LMA2398" s="35"/>
      <c r="LVV2398" s="35"/>
      <c r="LVW2398" s="35"/>
      <c r="MFR2398" s="35"/>
      <c r="MFS2398" s="35"/>
      <c r="MPN2398" s="35"/>
      <c r="MPO2398" s="35"/>
      <c r="MZJ2398" s="35"/>
      <c r="MZK2398" s="35"/>
      <c r="NJF2398" s="35"/>
      <c r="NJG2398" s="35"/>
      <c r="NTB2398" s="35"/>
      <c r="NTC2398" s="35"/>
      <c r="OCX2398" s="35"/>
      <c r="OCY2398" s="35"/>
      <c r="OMT2398" s="35"/>
      <c r="OMU2398" s="35"/>
      <c r="OWP2398" s="35"/>
      <c r="OWQ2398" s="35"/>
      <c r="PGL2398" s="35"/>
      <c r="PGM2398" s="35"/>
      <c r="PQH2398" s="35"/>
      <c r="PQI2398" s="35"/>
      <c r="QAD2398" s="35"/>
      <c r="QAE2398" s="35"/>
      <c r="QJZ2398" s="35"/>
      <c r="QKA2398" s="35"/>
      <c r="QTV2398" s="35"/>
      <c r="QTW2398" s="35"/>
      <c r="RDR2398" s="35"/>
      <c r="RDS2398" s="35"/>
      <c r="RNN2398" s="35"/>
      <c r="RNO2398" s="35"/>
      <c r="RXJ2398" s="35"/>
      <c r="RXK2398" s="35"/>
      <c r="SHF2398" s="35"/>
      <c r="SHG2398" s="35"/>
      <c r="SRB2398" s="35"/>
      <c r="SRC2398" s="35"/>
      <c r="TAX2398" s="35"/>
      <c r="TAY2398" s="35"/>
      <c r="TKT2398" s="35"/>
      <c r="TKU2398" s="35"/>
      <c r="TUP2398" s="35"/>
      <c r="TUQ2398" s="35"/>
      <c r="UEL2398" s="35"/>
      <c r="UEM2398" s="35"/>
      <c r="UOH2398" s="35"/>
      <c r="UOI2398" s="35"/>
      <c r="UYD2398" s="35"/>
      <c r="UYE2398" s="35"/>
      <c r="VHZ2398" s="35"/>
      <c r="VIA2398" s="35"/>
      <c r="VRV2398" s="35"/>
      <c r="VRW2398" s="35"/>
      <c r="WBR2398" s="35"/>
      <c r="WBS2398" s="35"/>
      <c r="WLN2398" s="35"/>
      <c r="WLO2398" s="35"/>
      <c r="WVJ2398" s="35"/>
      <c r="WVK2398" s="35"/>
    </row>
    <row r="2399" spans="1:771 1026:1795 2050:2819 3074:3843 4098:4867 5122:5891 6146:6915 7170:7939 8194:8963 9218:9987 10242:11011 11266:12035 12290:13059 13314:14083 14338:15107 15362:16131" s="35" customFormat="1" ht="41.4" x14ac:dyDescent="0.3">
      <c r="A2399" s="28">
        <v>226</v>
      </c>
      <c r="B2399" s="29" t="s">
        <v>1840</v>
      </c>
      <c r="C2399" s="78" t="s">
        <v>2305</v>
      </c>
      <c r="D2399" s="31"/>
      <c r="E2399" s="32">
        <v>24.6</v>
      </c>
      <c r="F2399" s="33"/>
      <c r="G2399" s="33"/>
      <c r="H2399" s="34" t="s">
        <v>1841</v>
      </c>
    </row>
    <row r="2400" spans="1:771 1026:1795 2050:2819 3074:3843 4098:4867 5122:5891 6146:6915 7170:7939 8194:8963 9218:9987 10242:11011 11266:12035 12290:13059 13314:14083 14338:15107 15362:16131" s="35" customFormat="1" ht="41.4" x14ac:dyDescent="0.3">
      <c r="A2400" s="36"/>
      <c r="B2400" s="37" t="s">
        <v>180</v>
      </c>
      <c r="C2400" s="38" t="s">
        <v>14</v>
      </c>
      <c r="D2400" s="39"/>
      <c r="E2400" s="50"/>
      <c r="F2400" s="40"/>
      <c r="G2400" s="41">
        <f>SUM(G2401)</f>
        <v>255938400</v>
      </c>
      <c r="H2400" s="42" t="s">
        <v>107</v>
      </c>
    </row>
    <row r="2401" spans="1:8" s="35" customFormat="1" ht="31.2" x14ac:dyDescent="0.3">
      <c r="A2401" s="36"/>
      <c r="B2401" s="37" t="s">
        <v>1842</v>
      </c>
      <c r="C2401" s="48" t="s">
        <v>55</v>
      </c>
      <c r="D2401" s="39" t="s">
        <v>13</v>
      </c>
      <c r="E2401" s="44">
        <v>24.6</v>
      </c>
      <c r="F2401" s="153">
        <v>10404000</v>
      </c>
      <c r="G2401" s="40">
        <f>E2401*F2401</f>
        <v>255938400</v>
      </c>
      <c r="H2401" s="42"/>
    </row>
    <row r="2402" spans="1:8" s="35" customFormat="1" ht="62.4" x14ac:dyDescent="0.3">
      <c r="A2402" s="36"/>
      <c r="B2402" s="46" t="s">
        <v>1843</v>
      </c>
      <c r="C2402" s="47" t="s">
        <v>35</v>
      </c>
      <c r="D2402" s="39"/>
      <c r="E2402" s="44"/>
      <c r="F2402" s="40"/>
      <c r="G2402" s="41">
        <f>SUM(G2403:G2412)</f>
        <v>13902890</v>
      </c>
      <c r="H2402" s="42"/>
    </row>
    <row r="2403" spans="1:8" s="35" customFormat="1" ht="93.6" x14ac:dyDescent="0.3">
      <c r="A2403" s="36"/>
      <c r="B2403" s="50" t="s">
        <v>1844</v>
      </c>
      <c r="C2403" s="48" t="s">
        <v>1845</v>
      </c>
      <c r="D2403" s="39"/>
      <c r="E2403" s="44"/>
      <c r="F2403" s="40"/>
      <c r="G2403" s="40">
        <f t="shared" ref="G2403:G2412" si="34">E2403*F2403</f>
        <v>0</v>
      </c>
      <c r="H2403" s="42"/>
    </row>
    <row r="2404" spans="1:8" s="35" customFormat="1" x14ac:dyDescent="0.3">
      <c r="A2404" s="36"/>
      <c r="B2404" s="50"/>
      <c r="C2404" s="48" t="s">
        <v>15</v>
      </c>
      <c r="D2404" s="39"/>
      <c r="E2404" s="44"/>
      <c r="F2404" s="40"/>
      <c r="G2404" s="40">
        <f t="shared" si="34"/>
        <v>0</v>
      </c>
      <c r="H2404" s="42"/>
    </row>
    <row r="2405" spans="1:8" s="35" customFormat="1" ht="41.4" x14ac:dyDescent="0.3">
      <c r="A2405" s="36"/>
      <c r="B2405" s="37"/>
      <c r="C2405" s="48" t="s">
        <v>1739</v>
      </c>
      <c r="D2405" s="39" t="s">
        <v>13</v>
      </c>
      <c r="E2405" s="44">
        <f>0.8*2.4</f>
        <v>1.92</v>
      </c>
      <c r="F2405" s="40"/>
      <c r="G2405" s="40">
        <f t="shared" si="34"/>
        <v>0</v>
      </c>
      <c r="H2405" s="42" t="s">
        <v>2576</v>
      </c>
    </row>
    <row r="2406" spans="1:8" s="35" customFormat="1" ht="27.6" x14ac:dyDescent="0.3">
      <c r="A2406" s="36"/>
      <c r="B2406" s="37"/>
      <c r="C2406" s="66" t="s">
        <v>189</v>
      </c>
      <c r="D2406" s="39" t="s">
        <v>924</v>
      </c>
      <c r="E2406" s="65">
        <f>2.5*0.2*0.1</f>
        <v>0.05</v>
      </c>
      <c r="F2406" s="40">
        <v>1421000</v>
      </c>
      <c r="G2406" s="40">
        <f t="shared" si="34"/>
        <v>71050</v>
      </c>
      <c r="H2406" s="42" t="s">
        <v>1768</v>
      </c>
    </row>
    <row r="2407" spans="1:8" s="35" customFormat="1" x14ac:dyDescent="0.3">
      <c r="A2407" s="36"/>
      <c r="B2407" s="37"/>
      <c r="C2407" s="66" t="s">
        <v>1846</v>
      </c>
      <c r="D2407" s="39" t="s">
        <v>891</v>
      </c>
      <c r="E2407" s="44">
        <f>2.5*0.3</f>
        <v>0.75</v>
      </c>
      <c r="F2407" s="40">
        <v>400000</v>
      </c>
      <c r="G2407" s="40">
        <f t="shared" si="34"/>
        <v>300000</v>
      </c>
      <c r="H2407" s="42"/>
    </row>
    <row r="2408" spans="1:8" s="35" customFormat="1" ht="18.600000000000001" x14ac:dyDescent="0.3">
      <c r="A2408" s="36"/>
      <c r="B2408" s="37"/>
      <c r="C2408" s="66" t="s">
        <v>1799</v>
      </c>
      <c r="D2408" s="39" t="s">
        <v>13</v>
      </c>
      <c r="E2408" s="44">
        <f>2*12.6</f>
        <v>25.2</v>
      </c>
      <c r="F2408" s="40">
        <v>258000</v>
      </c>
      <c r="G2408" s="40">
        <f t="shared" si="34"/>
        <v>6501600</v>
      </c>
      <c r="H2408" s="42"/>
    </row>
    <row r="2409" spans="1:8" s="35" customFormat="1" ht="18.600000000000001" x14ac:dyDescent="0.3">
      <c r="A2409" s="36"/>
      <c r="B2409" s="37"/>
      <c r="C2409" s="66" t="s">
        <v>115</v>
      </c>
      <c r="D2409" s="39" t="s">
        <v>13</v>
      </c>
      <c r="E2409" s="44">
        <f>3.3*9.4</f>
        <v>31.02</v>
      </c>
      <c r="F2409" s="40">
        <v>100000</v>
      </c>
      <c r="G2409" s="40">
        <f t="shared" si="34"/>
        <v>3102000</v>
      </c>
      <c r="H2409" s="42"/>
    </row>
    <row r="2410" spans="1:8" s="35" customFormat="1" ht="18.600000000000001" x14ac:dyDescent="0.3">
      <c r="A2410" s="36"/>
      <c r="B2410" s="37"/>
      <c r="C2410" s="66" t="s">
        <v>1847</v>
      </c>
      <c r="D2410" s="39" t="s">
        <v>13</v>
      </c>
      <c r="E2410" s="44">
        <f>1.8*12.6</f>
        <v>22.68</v>
      </c>
      <c r="F2410" s="40">
        <v>41000</v>
      </c>
      <c r="G2410" s="40">
        <f t="shared" si="34"/>
        <v>929880</v>
      </c>
      <c r="H2410" s="42"/>
    </row>
    <row r="2411" spans="1:8" s="35" customFormat="1" ht="18.600000000000001" x14ac:dyDescent="0.3">
      <c r="A2411" s="36"/>
      <c r="B2411" s="37"/>
      <c r="C2411" s="66" t="s">
        <v>1848</v>
      </c>
      <c r="D2411" s="39" t="s">
        <v>13</v>
      </c>
      <c r="E2411" s="44">
        <f>(0.8*4*5.2)*2</f>
        <v>33.28</v>
      </c>
      <c r="F2411" s="40">
        <v>67000</v>
      </c>
      <c r="G2411" s="40">
        <f t="shared" si="34"/>
        <v>2229760</v>
      </c>
      <c r="H2411" s="42"/>
    </row>
    <row r="2412" spans="1:8" s="35" customFormat="1" ht="18.600000000000001" x14ac:dyDescent="0.3">
      <c r="A2412" s="36"/>
      <c r="B2412" s="37"/>
      <c r="C2412" s="66" t="s">
        <v>1849</v>
      </c>
      <c r="D2412" s="39" t="s">
        <v>13</v>
      </c>
      <c r="E2412" s="44">
        <f>(1.45+1.7)*2</f>
        <v>6.3</v>
      </c>
      <c r="F2412" s="40">
        <v>122000</v>
      </c>
      <c r="G2412" s="40">
        <f t="shared" si="34"/>
        <v>768600</v>
      </c>
      <c r="H2412" s="42"/>
    </row>
    <row r="2413" spans="1:8" s="35" customFormat="1" x14ac:dyDescent="0.3">
      <c r="A2413" s="36"/>
      <c r="B2413" s="37"/>
      <c r="C2413" s="51" t="s">
        <v>20</v>
      </c>
      <c r="D2413" s="39"/>
      <c r="E2413" s="44"/>
      <c r="F2413" s="40"/>
      <c r="G2413" s="41">
        <f>SUM(G2414:G2417)</f>
        <v>250000</v>
      </c>
      <c r="H2413" s="42"/>
    </row>
    <row r="2414" spans="1:8" s="35" customFormat="1" x14ac:dyDescent="0.3">
      <c r="A2414" s="36"/>
      <c r="B2414" s="37"/>
      <c r="C2414" s="75" t="s">
        <v>902</v>
      </c>
      <c r="D2414" s="76" t="s">
        <v>22</v>
      </c>
      <c r="E2414" s="44">
        <v>2</v>
      </c>
      <c r="F2414" s="40">
        <v>40000</v>
      </c>
      <c r="G2414" s="40">
        <f>E2414*F2414</f>
        <v>80000</v>
      </c>
      <c r="H2414" s="42"/>
    </row>
    <row r="2415" spans="1:8" s="35" customFormat="1" x14ac:dyDescent="0.3">
      <c r="A2415" s="36"/>
      <c r="B2415" s="37"/>
      <c r="C2415" s="75" t="s">
        <v>779</v>
      </c>
      <c r="D2415" s="76" t="s">
        <v>22</v>
      </c>
      <c r="E2415" s="44">
        <v>1</v>
      </c>
      <c r="F2415" s="40">
        <v>40000</v>
      </c>
      <c r="G2415" s="40">
        <f>E2415*F2415</f>
        <v>40000</v>
      </c>
      <c r="H2415" s="42"/>
    </row>
    <row r="2416" spans="1:8" s="35" customFormat="1" x14ac:dyDescent="0.3">
      <c r="A2416" s="36"/>
      <c r="B2416" s="37"/>
      <c r="C2416" s="66" t="s">
        <v>308</v>
      </c>
      <c r="D2416" s="39" t="s">
        <v>891</v>
      </c>
      <c r="E2416" s="44">
        <v>1</v>
      </c>
      <c r="F2416" s="40">
        <v>30000</v>
      </c>
      <c r="G2416" s="40">
        <f>E2416*F2416</f>
        <v>30000</v>
      </c>
      <c r="H2416" s="42"/>
    </row>
    <row r="2417" spans="1:771 1026:1795 2050:2819 3074:3843 4098:4867 5122:5891 6146:6915 7170:7939 8194:8963 9218:9987 10242:11011 11266:12035 12290:13059 13314:14083 14338:15107 15362:16131" s="35" customFormat="1" x14ac:dyDescent="0.3">
      <c r="A2417" s="36"/>
      <c r="B2417" s="37"/>
      <c r="C2417" s="66" t="s">
        <v>1850</v>
      </c>
      <c r="D2417" s="39" t="s">
        <v>21</v>
      </c>
      <c r="E2417" s="44">
        <v>1</v>
      </c>
      <c r="F2417" s="40">
        <v>100000</v>
      </c>
      <c r="G2417" s="40">
        <f>E2417*F2417</f>
        <v>100000</v>
      </c>
      <c r="H2417" s="42"/>
    </row>
    <row r="2418" spans="1:771 1026:1795 2050:2819 3074:3843 4098:4867 5122:5891 6146:6915 7170:7939 8194:8963 9218:9987 10242:11011 11266:12035 12290:13059 13314:14083 14338:15107 15362:16131" s="35" customFormat="1" x14ac:dyDescent="0.3">
      <c r="A2418" s="36"/>
      <c r="B2418" s="46"/>
      <c r="C2418" s="51" t="s">
        <v>23</v>
      </c>
      <c r="D2418" s="39"/>
      <c r="E2418" s="1"/>
      <c r="F2418" s="2"/>
      <c r="G2418" s="41">
        <f>SUM(G2419)</f>
        <v>3060000</v>
      </c>
      <c r="H2418" s="52"/>
    </row>
    <row r="2419" spans="1:771 1026:1795 2050:2819 3074:3843 4098:4867 5122:5891 6146:6915 7170:7939 8194:8963 9218:9987 10242:11011 11266:12035 12290:13059 13314:14083 14338:15107 15362:16131" s="35" customFormat="1" x14ac:dyDescent="0.3">
      <c r="A2419" s="36"/>
      <c r="B2419" s="46"/>
      <c r="C2419" s="50" t="s">
        <v>24</v>
      </c>
      <c r="D2419" s="39" t="s">
        <v>25</v>
      </c>
      <c r="E2419" s="1">
        <f>1*30*6</f>
        <v>180</v>
      </c>
      <c r="F2419" s="2">
        <v>17000</v>
      </c>
      <c r="G2419" s="40">
        <f>E2419*F2419</f>
        <v>3060000</v>
      </c>
      <c r="H2419" s="42"/>
    </row>
    <row r="2420" spans="1:771 1026:1795 2050:2819 3074:3843 4098:4867 5122:5891 6146:6915 7170:7939 8194:8963 9218:9987 10242:11011 11266:12035 12290:13059 13314:14083 14338:15107 15362:16131" s="35" customFormat="1" ht="65.400000000000006" thickBot="1" x14ac:dyDescent="0.35">
      <c r="A2420" s="53"/>
      <c r="B2420" s="54"/>
      <c r="C2420" s="55" t="s">
        <v>2331</v>
      </c>
      <c r="D2420" s="56"/>
      <c r="E2420" s="71"/>
      <c r="F2420" s="57"/>
      <c r="G2420" s="57"/>
      <c r="H2420" s="58"/>
    </row>
    <row r="2421" spans="1:771 1026:1795 2050:2819 3074:3843 4098:4867 5122:5891 6146:6915 7170:7939 8194:8963 9218:9987 10242:11011 11266:12035 12290:13059 13314:14083 14338:15107 15362:16131" s="59" customFormat="1" ht="31.8" thickBot="1" x14ac:dyDescent="0.35">
      <c r="A2421" s="154"/>
      <c r="B2421" s="155" t="s">
        <v>26</v>
      </c>
      <c r="C2421" s="156"/>
      <c r="D2421" s="154"/>
      <c r="E2421" s="157"/>
      <c r="F2421" s="158"/>
      <c r="G2421" s="159">
        <f>SUM(G2399:G2420)/2</f>
        <v>273151290</v>
      </c>
      <c r="H2421" s="160"/>
      <c r="IX2421" s="35"/>
      <c r="IY2421" s="35"/>
      <c r="ST2421" s="35"/>
      <c r="SU2421" s="35"/>
      <c r="ACP2421" s="35"/>
      <c r="ACQ2421" s="35"/>
      <c r="AML2421" s="35"/>
      <c r="AMM2421" s="35"/>
      <c r="AWH2421" s="35"/>
      <c r="AWI2421" s="35"/>
      <c r="BGD2421" s="35"/>
      <c r="BGE2421" s="35"/>
      <c r="BPZ2421" s="35"/>
      <c r="BQA2421" s="35"/>
      <c r="BZV2421" s="35"/>
      <c r="BZW2421" s="35"/>
      <c r="CJR2421" s="35"/>
      <c r="CJS2421" s="35"/>
      <c r="CTN2421" s="35"/>
      <c r="CTO2421" s="35"/>
      <c r="DDJ2421" s="35"/>
      <c r="DDK2421" s="35"/>
      <c r="DNF2421" s="35"/>
      <c r="DNG2421" s="35"/>
      <c r="DXB2421" s="35"/>
      <c r="DXC2421" s="35"/>
      <c r="EGX2421" s="35"/>
      <c r="EGY2421" s="35"/>
      <c r="EQT2421" s="35"/>
      <c r="EQU2421" s="35"/>
      <c r="FAP2421" s="35"/>
      <c r="FAQ2421" s="35"/>
      <c r="FKL2421" s="35"/>
      <c r="FKM2421" s="35"/>
      <c r="FUH2421" s="35"/>
      <c r="FUI2421" s="35"/>
      <c r="GED2421" s="35"/>
      <c r="GEE2421" s="35"/>
      <c r="GNZ2421" s="35"/>
      <c r="GOA2421" s="35"/>
      <c r="GXV2421" s="35"/>
      <c r="GXW2421" s="35"/>
      <c r="HHR2421" s="35"/>
      <c r="HHS2421" s="35"/>
      <c r="HRN2421" s="35"/>
      <c r="HRO2421" s="35"/>
      <c r="IBJ2421" s="35"/>
      <c r="IBK2421" s="35"/>
      <c r="ILF2421" s="35"/>
      <c r="ILG2421" s="35"/>
      <c r="IVB2421" s="35"/>
      <c r="IVC2421" s="35"/>
      <c r="JEX2421" s="35"/>
      <c r="JEY2421" s="35"/>
      <c r="JOT2421" s="35"/>
      <c r="JOU2421" s="35"/>
      <c r="JYP2421" s="35"/>
      <c r="JYQ2421" s="35"/>
      <c r="KIL2421" s="35"/>
      <c r="KIM2421" s="35"/>
      <c r="KSH2421" s="35"/>
      <c r="KSI2421" s="35"/>
      <c r="LCD2421" s="35"/>
      <c r="LCE2421" s="35"/>
      <c r="LLZ2421" s="35"/>
      <c r="LMA2421" s="35"/>
      <c r="LVV2421" s="35"/>
      <c r="LVW2421" s="35"/>
      <c r="MFR2421" s="35"/>
      <c r="MFS2421" s="35"/>
      <c r="MPN2421" s="35"/>
      <c r="MPO2421" s="35"/>
      <c r="MZJ2421" s="35"/>
      <c r="MZK2421" s="35"/>
      <c r="NJF2421" s="35"/>
      <c r="NJG2421" s="35"/>
      <c r="NTB2421" s="35"/>
      <c r="NTC2421" s="35"/>
      <c r="OCX2421" s="35"/>
      <c r="OCY2421" s="35"/>
      <c r="OMT2421" s="35"/>
      <c r="OMU2421" s="35"/>
      <c r="OWP2421" s="35"/>
      <c r="OWQ2421" s="35"/>
      <c r="PGL2421" s="35"/>
      <c r="PGM2421" s="35"/>
      <c r="PQH2421" s="35"/>
      <c r="PQI2421" s="35"/>
      <c r="QAD2421" s="35"/>
      <c r="QAE2421" s="35"/>
      <c r="QJZ2421" s="35"/>
      <c r="QKA2421" s="35"/>
      <c r="QTV2421" s="35"/>
      <c r="QTW2421" s="35"/>
      <c r="RDR2421" s="35"/>
      <c r="RDS2421" s="35"/>
      <c r="RNN2421" s="35"/>
      <c r="RNO2421" s="35"/>
      <c r="RXJ2421" s="35"/>
      <c r="RXK2421" s="35"/>
      <c r="SHF2421" s="35"/>
      <c r="SHG2421" s="35"/>
      <c r="SRB2421" s="35"/>
      <c r="SRC2421" s="35"/>
      <c r="TAX2421" s="35"/>
      <c r="TAY2421" s="35"/>
      <c r="TKT2421" s="35"/>
      <c r="TKU2421" s="35"/>
      <c r="TUP2421" s="35"/>
      <c r="TUQ2421" s="35"/>
      <c r="UEL2421" s="35"/>
      <c r="UEM2421" s="35"/>
      <c r="UOH2421" s="35"/>
      <c r="UOI2421" s="35"/>
      <c r="UYD2421" s="35"/>
      <c r="UYE2421" s="35"/>
      <c r="VHZ2421" s="35"/>
      <c r="VIA2421" s="35"/>
      <c r="VRV2421" s="35"/>
      <c r="VRW2421" s="35"/>
      <c r="WBR2421" s="35"/>
      <c r="WBS2421" s="35"/>
      <c r="WLN2421" s="35"/>
      <c r="WLO2421" s="35"/>
      <c r="WVJ2421" s="35"/>
      <c r="WVK2421" s="35"/>
    </row>
    <row r="2422" spans="1:771 1026:1795 2050:2819 3074:3843 4098:4867 5122:5891 6146:6915 7170:7939 8194:8963 9218:9987 10242:11011 11266:12035 12290:13059 13314:14083 14338:15107 15362:16131" s="35" customFormat="1" ht="55.2" x14ac:dyDescent="0.3">
      <c r="A2422" s="28">
        <v>227</v>
      </c>
      <c r="B2422" s="29" t="s">
        <v>2301</v>
      </c>
      <c r="C2422" s="30" t="s">
        <v>2303</v>
      </c>
      <c r="D2422" s="31" t="s">
        <v>1851</v>
      </c>
      <c r="E2422" s="32">
        <v>7.7</v>
      </c>
      <c r="F2422" s="33"/>
      <c r="G2422" s="33"/>
      <c r="H2422" s="112" t="s">
        <v>2304</v>
      </c>
    </row>
    <row r="2423" spans="1:771 1026:1795 2050:2819 3074:3843 4098:4867 5122:5891 6146:6915 7170:7939 8194:8963 9218:9987 10242:11011 11266:12035 12290:13059 13314:14083 14338:15107 15362:16131" s="35" customFormat="1" ht="48.6" x14ac:dyDescent="0.3">
      <c r="A2423" s="36"/>
      <c r="B2423" s="113" t="s">
        <v>2302</v>
      </c>
      <c r="C2423" s="38" t="s">
        <v>14</v>
      </c>
      <c r="D2423" s="39"/>
      <c r="E2423" s="44"/>
      <c r="F2423" s="40"/>
      <c r="G2423" s="41">
        <f>SUM(G2424)</f>
        <v>80110800</v>
      </c>
      <c r="H2423" s="42" t="s">
        <v>1368</v>
      </c>
    </row>
    <row r="2424" spans="1:771 1026:1795 2050:2819 3074:3843 4098:4867 5122:5891 6146:6915 7170:7939 8194:8963 9218:9987 10242:11011 11266:12035 12290:13059 13314:14083 14338:15107 15362:16131" s="35" customFormat="1" ht="31.2" x14ac:dyDescent="0.3">
      <c r="A2424" s="36"/>
      <c r="B2424" s="37" t="s">
        <v>66</v>
      </c>
      <c r="C2424" s="48" t="s">
        <v>55</v>
      </c>
      <c r="D2424" s="39" t="s">
        <v>13</v>
      </c>
      <c r="E2424" s="44">
        <v>7.7</v>
      </c>
      <c r="F2424" s="161">
        <v>10404000</v>
      </c>
      <c r="G2424" s="40">
        <f>E2424*F2424</f>
        <v>80110800</v>
      </c>
      <c r="H2424" s="42"/>
    </row>
    <row r="2425" spans="1:771 1026:1795 2050:2819 3074:3843 4098:4867 5122:5891 6146:6915 7170:7939 8194:8963 9218:9987 10242:11011 11266:12035 12290:13059 13314:14083 14338:15107 15362:16131" s="35" customFormat="1" ht="78" x14ac:dyDescent="0.3">
      <c r="A2425" s="36"/>
      <c r="B2425" s="46" t="s">
        <v>1852</v>
      </c>
      <c r="C2425" s="47" t="s">
        <v>35</v>
      </c>
      <c r="D2425" s="39"/>
      <c r="E2425" s="44"/>
      <c r="F2425" s="40"/>
      <c r="G2425" s="41">
        <f>SUM(G2426:G2429)</f>
        <v>4534723.4000000004</v>
      </c>
      <c r="H2425" s="45"/>
    </row>
    <row r="2426" spans="1:771 1026:1795 2050:2819 3074:3843 4098:4867 5122:5891 6146:6915 7170:7939 8194:8963 9218:9987 10242:11011 11266:12035 12290:13059 13314:14083 14338:15107 15362:16131" s="35" customFormat="1" x14ac:dyDescent="0.3">
      <c r="A2426" s="36"/>
      <c r="B2426" s="46" t="s">
        <v>1853</v>
      </c>
      <c r="C2426" s="48" t="s">
        <v>469</v>
      </c>
      <c r="D2426" s="39" t="s">
        <v>891</v>
      </c>
      <c r="E2426" s="44">
        <f>2.5*2</f>
        <v>5</v>
      </c>
      <c r="F2426" s="74">
        <v>400000</v>
      </c>
      <c r="G2426" s="40">
        <f>E2426*F2426</f>
        <v>2000000</v>
      </c>
      <c r="H2426" s="42"/>
    </row>
    <row r="2427" spans="1:771 1026:1795 2050:2819 3074:3843 4098:4867 5122:5891 6146:6915 7170:7939 8194:8963 9218:9987 10242:11011 11266:12035 12290:13059 13314:14083 14338:15107 15362:16131" s="35" customFormat="1" x14ac:dyDescent="0.3">
      <c r="A2427" s="36"/>
      <c r="B2427" s="37"/>
      <c r="C2427" s="48" t="s">
        <v>305</v>
      </c>
      <c r="D2427" s="39" t="s">
        <v>891</v>
      </c>
      <c r="E2427" s="44">
        <f>2*1.5</f>
        <v>3</v>
      </c>
      <c r="F2427" s="40">
        <v>140000</v>
      </c>
      <c r="G2427" s="40">
        <f>E2427*F2427</f>
        <v>420000</v>
      </c>
      <c r="H2427" s="42"/>
    </row>
    <row r="2428" spans="1:771 1026:1795 2050:2819 3074:3843 4098:4867 5122:5891 6146:6915 7170:7939 8194:8963 9218:9987 10242:11011 11266:12035 12290:13059 13314:14083 14338:15107 15362:16131" s="35" customFormat="1" x14ac:dyDescent="0.3">
      <c r="A2428" s="36"/>
      <c r="B2428" s="46"/>
      <c r="C2428" s="48" t="s">
        <v>189</v>
      </c>
      <c r="D2428" s="39" t="s">
        <v>924</v>
      </c>
      <c r="E2428" s="44">
        <f>(0.2*0.77*3.1)+(2*0.5*0.2)+(1.2*1*0.1)</f>
        <v>0.79740000000000011</v>
      </c>
      <c r="F2428" s="40">
        <v>1421000</v>
      </c>
      <c r="G2428" s="40">
        <f>E2428*F2428</f>
        <v>1133105.4000000001</v>
      </c>
      <c r="H2428" s="42"/>
    </row>
    <row r="2429" spans="1:771 1026:1795 2050:2819 3074:3843 4098:4867 5122:5891 6146:6915 7170:7939 8194:8963 9218:9987 10242:11011 11266:12035 12290:13059 13314:14083 14338:15107 15362:16131" s="35" customFormat="1" x14ac:dyDescent="0.3">
      <c r="A2429" s="36"/>
      <c r="B2429" s="46"/>
      <c r="C2429" s="48" t="s">
        <v>1854</v>
      </c>
      <c r="D2429" s="39" t="s">
        <v>891</v>
      </c>
      <c r="E2429" s="44">
        <f>(0.77*3.1*2)+(2*0.5*2)+(1.2*1*2)</f>
        <v>9.1739999999999995</v>
      </c>
      <c r="F2429" s="40">
        <v>107000</v>
      </c>
      <c r="G2429" s="40">
        <f>E2429*F2429</f>
        <v>981618</v>
      </c>
      <c r="H2429" s="42"/>
    </row>
    <row r="2430" spans="1:771 1026:1795 2050:2819 3074:3843 4098:4867 5122:5891 6146:6915 7170:7939 8194:8963 9218:9987 10242:11011 11266:12035 12290:13059 13314:14083 14338:15107 15362:16131" s="35" customFormat="1" x14ac:dyDescent="0.3">
      <c r="A2430" s="36"/>
      <c r="B2430" s="37"/>
      <c r="C2430" s="51" t="s">
        <v>20</v>
      </c>
      <c r="D2430" s="39"/>
      <c r="E2430" s="44"/>
      <c r="F2430" s="40"/>
      <c r="G2430" s="41">
        <f>SUM(G2431)</f>
        <v>320000</v>
      </c>
      <c r="H2430" s="52"/>
    </row>
    <row r="2431" spans="1:771 1026:1795 2050:2819 3074:3843 4098:4867 5122:5891 6146:6915 7170:7939 8194:8963 9218:9987 10242:11011 11266:12035 12290:13059 13314:14083 14338:15107 15362:16131" s="35" customFormat="1" x14ac:dyDescent="0.3">
      <c r="A2431" s="36"/>
      <c r="B2431" s="37"/>
      <c r="C2431" s="48" t="s">
        <v>2349</v>
      </c>
      <c r="D2431" s="39" t="s">
        <v>21</v>
      </c>
      <c r="E2431" s="44">
        <v>2</v>
      </c>
      <c r="F2431" s="40">
        <v>160000</v>
      </c>
      <c r="G2431" s="40">
        <f>E2431*F2431</f>
        <v>320000</v>
      </c>
      <c r="H2431" s="42"/>
    </row>
    <row r="2432" spans="1:771 1026:1795 2050:2819 3074:3843 4098:4867 5122:5891 6146:6915 7170:7939 8194:8963 9218:9987 10242:11011 11266:12035 12290:13059 13314:14083 14338:15107 15362:16131" s="35" customFormat="1" x14ac:dyDescent="0.3">
      <c r="A2432" s="36"/>
      <c r="B2432" s="46"/>
      <c r="C2432" s="51" t="s">
        <v>23</v>
      </c>
      <c r="D2432" s="39"/>
      <c r="E2432" s="1"/>
      <c r="F2432" s="2"/>
      <c r="G2432" s="41">
        <f>SUM(G2433)</f>
        <v>3060000</v>
      </c>
      <c r="H2432" s="52"/>
    </row>
    <row r="2433" spans="1:771 1026:1795 2050:2819 3074:3843 4098:4867 5122:5891 6146:6915 7170:7939 8194:8963 9218:9987 10242:11011 11266:12035 12290:13059 13314:14083 14338:15107 15362:16131" s="35" customFormat="1" x14ac:dyDescent="0.3">
      <c r="A2433" s="36"/>
      <c r="B2433" s="46"/>
      <c r="C2433" s="50" t="s">
        <v>24</v>
      </c>
      <c r="D2433" s="39" t="s">
        <v>25</v>
      </c>
      <c r="E2433" s="1">
        <f>1*30*6</f>
        <v>180</v>
      </c>
      <c r="F2433" s="2">
        <v>17000</v>
      </c>
      <c r="G2433" s="40">
        <f>E2433*F2433</f>
        <v>3060000</v>
      </c>
      <c r="H2433" s="42"/>
    </row>
    <row r="2434" spans="1:771 1026:1795 2050:2819 3074:3843 4098:4867 5122:5891 6146:6915 7170:7939 8194:8963 9218:9987 10242:11011 11266:12035 12290:13059 13314:14083 14338:15107 15362:16131" s="35" customFormat="1" ht="65.400000000000006" thickBot="1" x14ac:dyDescent="0.35">
      <c r="A2434" s="53"/>
      <c r="B2434" s="54"/>
      <c r="C2434" s="55" t="s">
        <v>2331</v>
      </c>
      <c r="D2434" s="56"/>
      <c r="E2434" s="71"/>
      <c r="F2434" s="57"/>
      <c r="G2434" s="57"/>
      <c r="H2434" s="58"/>
    </row>
    <row r="2435" spans="1:771 1026:1795 2050:2819 3074:3843 4098:4867 5122:5891 6146:6915 7170:7939 8194:8963 9218:9987 10242:11011 11266:12035 12290:13059 13314:14083 14338:15107 15362:16131" s="59" customFormat="1" ht="31.8" thickBot="1" x14ac:dyDescent="0.35">
      <c r="A2435" s="154"/>
      <c r="B2435" s="155" t="s">
        <v>26</v>
      </c>
      <c r="C2435" s="156"/>
      <c r="D2435" s="154"/>
      <c r="E2435" s="157"/>
      <c r="F2435" s="158"/>
      <c r="G2435" s="159">
        <f>SUM(G2422:G2434)/2</f>
        <v>88025523.400000006</v>
      </c>
      <c r="H2435" s="160"/>
      <c r="IX2435" s="35"/>
      <c r="IY2435" s="35"/>
      <c r="ST2435" s="35"/>
      <c r="SU2435" s="35"/>
      <c r="ACP2435" s="35"/>
      <c r="ACQ2435" s="35"/>
      <c r="AML2435" s="35"/>
      <c r="AMM2435" s="35"/>
      <c r="AWH2435" s="35"/>
      <c r="AWI2435" s="35"/>
      <c r="BGD2435" s="35"/>
      <c r="BGE2435" s="35"/>
      <c r="BPZ2435" s="35"/>
      <c r="BQA2435" s="35"/>
      <c r="BZV2435" s="35"/>
      <c r="BZW2435" s="35"/>
      <c r="CJR2435" s="35"/>
      <c r="CJS2435" s="35"/>
      <c r="CTN2435" s="35"/>
      <c r="CTO2435" s="35"/>
      <c r="DDJ2435" s="35"/>
      <c r="DDK2435" s="35"/>
      <c r="DNF2435" s="35"/>
      <c r="DNG2435" s="35"/>
      <c r="DXB2435" s="35"/>
      <c r="DXC2435" s="35"/>
      <c r="EGX2435" s="35"/>
      <c r="EGY2435" s="35"/>
      <c r="EQT2435" s="35"/>
      <c r="EQU2435" s="35"/>
      <c r="FAP2435" s="35"/>
      <c r="FAQ2435" s="35"/>
      <c r="FKL2435" s="35"/>
      <c r="FKM2435" s="35"/>
      <c r="FUH2435" s="35"/>
      <c r="FUI2435" s="35"/>
      <c r="GED2435" s="35"/>
      <c r="GEE2435" s="35"/>
      <c r="GNZ2435" s="35"/>
      <c r="GOA2435" s="35"/>
      <c r="GXV2435" s="35"/>
      <c r="GXW2435" s="35"/>
      <c r="HHR2435" s="35"/>
      <c r="HHS2435" s="35"/>
      <c r="HRN2435" s="35"/>
      <c r="HRO2435" s="35"/>
      <c r="IBJ2435" s="35"/>
      <c r="IBK2435" s="35"/>
      <c r="ILF2435" s="35"/>
      <c r="ILG2435" s="35"/>
      <c r="IVB2435" s="35"/>
      <c r="IVC2435" s="35"/>
      <c r="JEX2435" s="35"/>
      <c r="JEY2435" s="35"/>
      <c r="JOT2435" s="35"/>
      <c r="JOU2435" s="35"/>
      <c r="JYP2435" s="35"/>
      <c r="JYQ2435" s="35"/>
      <c r="KIL2435" s="35"/>
      <c r="KIM2435" s="35"/>
      <c r="KSH2435" s="35"/>
      <c r="KSI2435" s="35"/>
      <c r="LCD2435" s="35"/>
      <c r="LCE2435" s="35"/>
      <c r="LLZ2435" s="35"/>
      <c r="LMA2435" s="35"/>
      <c r="LVV2435" s="35"/>
      <c r="LVW2435" s="35"/>
      <c r="MFR2435" s="35"/>
      <c r="MFS2435" s="35"/>
      <c r="MPN2435" s="35"/>
      <c r="MPO2435" s="35"/>
      <c r="MZJ2435" s="35"/>
      <c r="MZK2435" s="35"/>
      <c r="NJF2435" s="35"/>
      <c r="NJG2435" s="35"/>
      <c r="NTB2435" s="35"/>
      <c r="NTC2435" s="35"/>
      <c r="OCX2435" s="35"/>
      <c r="OCY2435" s="35"/>
      <c r="OMT2435" s="35"/>
      <c r="OMU2435" s="35"/>
      <c r="OWP2435" s="35"/>
      <c r="OWQ2435" s="35"/>
      <c r="PGL2435" s="35"/>
      <c r="PGM2435" s="35"/>
      <c r="PQH2435" s="35"/>
      <c r="PQI2435" s="35"/>
      <c r="QAD2435" s="35"/>
      <c r="QAE2435" s="35"/>
      <c r="QJZ2435" s="35"/>
      <c r="QKA2435" s="35"/>
      <c r="QTV2435" s="35"/>
      <c r="QTW2435" s="35"/>
      <c r="RDR2435" s="35"/>
      <c r="RDS2435" s="35"/>
      <c r="RNN2435" s="35"/>
      <c r="RNO2435" s="35"/>
      <c r="RXJ2435" s="35"/>
      <c r="RXK2435" s="35"/>
      <c r="SHF2435" s="35"/>
      <c r="SHG2435" s="35"/>
      <c r="SRB2435" s="35"/>
      <c r="SRC2435" s="35"/>
      <c r="TAX2435" s="35"/>
      <c r="TAY2435" s="35"/>
      <c r="TKT2435" s="35"/>
      <c r="TKU2435" s="35"/>
      <c r="TUP2435" s="35"/>
      <c r="TUQ2435" s="35"/>
      <c r="UEL2435" s="35"/>
      <c r="UEM2435" s="35"/>
      <c r="UOH2435" s="35"/>
      <c r="UOI2435" s="35"/>
      <c r="UYD2435" s="35"/>
      <c r="UYE2435" s="35"/>
      <c r="VHZ2435" s="35"/>
      <c r="VIA2435" s="35"/>
      <c r="VRV2435" s="35"/>
      <c r="VRW2435" s="35"/>
      <c r="WBR2435" s="35"/>
      <c r="WBS2435" s="35"/>
      <c r="WLN2435" s="35"/>
      <c r="WLO2435" s="35"/>
      <c r="WVJ2435" s="35"/>
      <c r="WVK2435" s="35"/>
    </row>
    <row r="2436" spans="1:771 1026:1795 2050:2819 3074:3843 4098:4867 5122:5891 6146:6915 7170:7939 8194:8963 9218:9987 10242:11011 11266:12035 12290:13059 13314:14083 14338:15107 15362:16131" s="35" customFormat="1" ht="55.2" x14ac:dyDescent="0.3">
      <c r="A2436" s="28">
        <v>228</v>
      </c>
      <c r="B2436" s="29" t="s">
        <v>1855</v>
      </c>
      <c r="C2436" s="30" t="s">
        <v>1856</v>
      </c>
      <c r="D2436" s="31" t="s">
        <v>13</v>
      </c>
      <c r="E2436" s="32">
        <v>8</v>
      </c>
      <c r="F2436" s="33"/>
      <c r="G2436" s="33"/>
      <c r="H2436" s="34" t="s">
        <v>1857</v>
      </c>
    </row>
    <row r="2437" spans="1:771 1026:1795 2050:2819 3074:3843 4098:4867 5122:5891 6146:6915 7170:7939 8194:8963 9218:9987 10242:11011 11266:12035 12290:13059 13314:14083 14338:15107 15362:16131" s="35" customFormat="1" ht="27.6" x14ac:dyDescent="0.3">
      <c r="A2437" s="36"/>
      <c r="B2437" s="37" t="s">
        <v>1858</v>
      </c>
      <c r="C2437" s="38" t="s">
        <v>14</v>
      </c>
      <c r="D2437" s="39"/>
      <c r="E2437" s="114"/>
      <c r="F2437" s="161"/>
      <c r="G2437" s="41">
        <f>SUM(G2438)</f>
        <v>83232000</v>
      </c>
      <c r="H2437" s="42" t="s">
        <v>1368</v>
      </c>
    </row>
    <row r="2438" spans="1:771 1026:1795 2050:2819 3074:3843 4098:4867 5122:5891 6146:6915 7170:7939 8194:8963 9218:9987 10242:11011 11266:12035 12290:13059 13314:14083 14338:15107 15362:16131" s="35" customFormat="1" ht="31.2" x14ac:dyDescent="0.3">
      <c r="A2438" s="36"/>
      <c r="B2438" s="37" t="s">
        <v>1859</v>
      </c>
      <c r="C2438" s="43" t="s">
        <v>55</v>
      </c>
      <c r="D2438" s="39" t="s">
        <v>13</v>
      </c>
      <c r="E2438" s="65">
        <v>8</v>
      </c>
      <c r="F2438" s="153">
        <v>10404000</v>
      </c>
      <c r="G2438" s="40">
        <f>E2438*F2438</f>
        <v>83232000</v>
      </c>
      <c r="H2438" s="42"/>
    </row>
    <row r="2439" spans="1:771 1026:1795 2050:2819 3074:3843 4098:4867 5122:5891 6146:6915 7170:7939 8194:8963 9218:9987 10242:11011 11266:12035 12290:13059 13314:14083 14338:15107 15362:16131" s="35" customFormat="1" ht="62.4" x14ac:dyDescent="0.3">
      <c r="A2439" s="36"/>
      <c r="B2439" s="46" t="s">
        <v>1860</v>
      </c>
      <c r="C2439" s="47" t="s">
        <v>35</v>
      </c>
      <c r="D2439" s="39"/>
      <c r="E2439" s="44"/>
      <c r="F2439" s="40"/>
      <c r="G2439" s="41">
        <f>SUM(G2440:G2447)</f>
        <v>0</v>
      </c>
      <c r="H2439" s="45"/>
    </row>
    <row r="2440" spans="1:771 1026:1795 2050:2819 3074:3843 4098:4867 5122:5891 6146:6915 7170:7939 8194:8963 9218:9987 10242:11011 11266:12035 12290:13059 13314:14083 14338:15107 15362:16131" s="35" customFormat="1" ht="93.6" x14ac:dyDescent="0.3">
      <c r="A2440" s="36"/>
      <c r="B2440" s="50" t="s">
        <v>1861</v>
      </c>
      <c r="C2440" s="66" t="s">
        <v>1862</v>
      </c>
      <c r="D2440" s="39"/>
      <c r="E2440" s="44"/>
      <c r="F2440" s="40"/>
      <c r="G2440" s="40">
        <f t="shared" ref="G2440:G2447" si="35">E2440*F2440</f>
        <v>0</v>
      </c>
      <c r="H2440" s="52"/>
    </row>
    <row r="2441" spans="1:771 1026:1795 2050:2819 3074:3843 4098:4867 5122:5891 6146:6915 7170:7939 8194:8963 9218:9987 10242:11011 11266:12035 12290:13059 13314:14083 14338:15107 15362:16131" s="35" customFormat="1" x14ac:dyDescent="0.3">
      <c r="A2441" s="36"/>
      <c r="B2441" s="46"/>
      <c r="C2441" s="48" t="s">
        <v>15</v>
      </c>
      <c r="D2441" s="39"/>
      <c r="E2441" s="44"/>
      <c r="F2441" s="40"/>
      <c r="G2441" s="40">
        <f t="shared" si="35"/>
        <v>0</v>
      </c>
      <c r="H2441" s="52"/>
    </row>
    <row r="2442" spans="1:771 1026:1795 2050:2819 3074:3843 4098:4867 5122:5891 6146:6915 7170:7939 8194:8963 9218:9987 10242:11011 11266:12035 12290:13059 13314:14083 14338:15107 15362:16131" s="35" customFormat="1" ht="31.2" x14ac:dyDescent="0.3">
      <c r="A2442" s="36"/>
      <c r="B2442" s="46"/>
      <c r="C2442" s="48" t="s">
        <v>1775</v>
      </c>
      <c r="D2442" s="39" t="s">
        <v>891</v>
      </c>
      <c r="E2442" s="44">
        <f>0.8*4</f>
        <v>3.2</v>
      </c>
      <c r="F2442" s="40"/>
      <c r="G2442" s="40">
        <f t="shared" si="35"/>
        <v>0</v>
      </c>
      <c r="H2442" s="52" t="s">
        <v>179</v>
      </c>
    </row>
    <row r="2443" spans="1:771 1026:1795 2050:2819 3074:3843 4098:4867 5122:5891 6146:6915 7170:7939 8194:8963 9218:9987 10242:11011 11266:12035 12290:13059 13314:14083 14338:15107 15362:16131" s="35" customFormat="1" x14ac:dyDescent="0.3">
      <c r="A2443" s="36"/>
      <c r="B2443" s="46"/>
      <c r="C2443" s="48" t="s">
        <v>1748</v>
      </c>
      <c r="D2443" s="39" t="s">
        <v>891</v>
      </c>
      <c r="E2443" s="44">
        <f>3.2*4</f>
        <v>12.8</v>
      </c>
      <c r="F2443" s="40"/>
      <c r="G2443" s="40">
        <f t="shared" si="35"/>
        <v>0</v>
      </c>
      <c r="H2443" s="52" t="s">
        <v>179</v>
      </c>
    </row>
    <row r="2444" spans="1:771 1026:1795 2050:2819 3074:3843 4098:4867 5122:5891 6146:6915 7170:7939 8194:8963 9218:9987 10242:11011 11266:12035 12290:13059 13314:14083 14338:15107 15362:16131" s="35" customFormat="1" x14ac:dyDescent="0.3">
      <c r="A2444" s="36"/>
      <c r="B2444" s="46"/>
      <c r="C2444" s="48" t="s">
        <v>105</v>
      </c>
      <c r="D2444" s="39" t="s">
        <v>106</v>
      </c>
      <c r="E2444" s="44">
        <v>1</v>
      </c>
      <c r="F2444" s="40"/>
      <c r="G2444" s="40">
        <f t="shared" si="35"/>
        <v>0</v>
      </c>
      <c r="H2444" s="52" t="s">
        <v>2353</v>
      </c>
    </row>
    <row r="2445" spans="1:771 1026:1795 2050:2819 3074:3843 4098:4867 5122:5891 6146:6915 7170:7939 8194:8963 9218:9987 10242:11011 11266:12035 12290:13059 13314:14083 14338:15107 15362:16131" s="35" customFormat="1" ht="93.6" x14ac:dyDescent="0.3">
      <c r="A2445" s="36"/>
      <c r="B2445" s="46"/>
      <c r="C2445" s="48" t="s">
        <v>1863</v>
      </c>
      <c r="D2445" s="39"/>
      <c r="E2445" s="44"/>
      <c r="F2445" s="40"/>
      <c r="G2445" s="40">
        <f t="shared" si="35"/>
        <v>0</v>
      </c>
      <c r="H2445" s="42"/>
    </row>
    <row r="2446" spans="1:771 1026:1795 2050:2819 3074:3843 4098:4867 5122:5891 6146:6915 7170:7939 8194:8963 9218:9987 10242:11011 11266:12035 12290:13059 13314:14083 14338:15107 15362:16131" s="35" customFormat="1" x14ac:dyDescent="0.3">
      <c r="A2446" s="36"/>
      <c r="B2446" s="46"/>
      <c r="C2446" s="48" t="s">
        <v>15</v>
      </c>
      <c r="D2446" s="39"/>
      <c r="E2446" s="44"/>
      <c r="F2446" s="40"/>
      <c r="G2446" s="40">
        <f t="shared" si="35"/>
        <v>0</v>
      </c>
      <c r="H2446" s="42"/>
    </row>
    <row r="2447" spans="1:771 1026:1795 2050:2819 3074:3843 4098:4867 5122:5891 6146:6915 7170:7939 8194:8963 9218:9987 10242:11011 11266:12035 12290:13059 13314:14083 14338:15107 15362:16131" s="35" customFormat="1" ht="18.600000000000001" x14ac:dyDescent="0.3">
      <c r="A2447" s="36"/>
      <c r="B2447" s="46"/>
      <c r="C2447" s="48" t="s">
        <v>1739</v>
      </c>
      <c r="D2447" s="39" t="s">
        <v>13</v>
      </c>
      <c r="E2447" s="44">
        <f>1.2*4</f>
        <v>4.8</v>
      </c>
      <c r="F2447" s="40"/>
      <c r="G2447" s="40">
        <f t="shared" si="35"/>
        <v>0</v>
      </c>
      <c r="H2447" s="42" t="s">
        <v>179</v>
      </c>
    </row>
    <row r="2448" spans="1:771 1026:1795 2050:2819 3074:3843 4098:4867 5122:5891 6146:6915 7170:7939 8194:8963 9218:9987 10242:11011 11266:12035 12290:13059 13314:14083 14338:15107 15362:16131" s="35" customFormat="1" x14ac:dyDescent="0.3">
      <c r="A2448" s="36"/>
      <c r="B2448" s="46"/>
      <c r="C2448" s="51" t="s">
        <v>23</v>
      </c>
      <c r="D2448" s="39"/>
      <c r="E2448" s="44"/>
      <c r="F2448" s="40"/>
      <c r="G2448" s="41">
        <f>SUM(G2449)</f>
        <v>3060000</v>
      </c>
      <c r="H2448" s="42"/>
    </row>
    <row r="2449" spans="1:771 1026:1795 2050:2819 3074:3843 4098:4867 5122:5891 6146:6915 7170:7939 8194:8963 9218:9987 10242:11011 11266:12035 12290:13059 13314:14083 14338:15107 15362:16131" s="35" customFormat="1" x14ac:dyDescent="0.3">
      <c r="A2449" s="36"/>
      <c r="B2449" s="46"/>
      <c r="C2449" s="50" t="s">
        <v>24</v>
      </c>
      <c r="D2449" s="39" t="s">
        <v>25</v>
      </c>
      <c r="E2449" s="44">
        <f>1*30*6</f>
        <v>180</v>
      </c>
      <c r="F2449" s="40">
        <v>17000</v>
      </c>
      <c r="G2449" s="40">
        <f>E2449*F2449</f>
        <v>3060000</v>
      </c>
      <c r="H2449" s="42"/>
    </row>
    <row r="2450" spans="1:771 1026:1795 2050:2819 3074:3843 4098:4867 5122:5891 6146:6915 7170:7939 8194:8963 9218:9987 10242:11011 11266:12035 12290:13059 13314:14083 14338:15107 15362:16131" s="35" customFormat="1" ht="65.400000000000006" thickBot="1" x14ac:dyDescent="0.35">
      <c r="A2450" s="53"/>
      <c r="B2450" s="54"/>
      <c r="C2450" s="55" t="s">
        <v>2331</v>
      </c>
      <c r="D2450" s="56"/>
      <c r="E2450" s="71"/>
      <c r="F2450" s="57"/>
      <c r="G2450" s="57"/>
      <c r="H2450" s="58"/>
    </row>
    <row r="2451" spans="1:771 1026:1795 2050:2819 3074:3843 4098:4867 5122:5891 6146:6915 7170:7939 8194:8963 9218:9987 10242:11011 11266:12035 12290:13059 13314:14083 14338:15107 15362:16131" s="59" customFormat="1" ht="31.8" thickBot="1" x14ac:dyDescent="0.35">
      <c r="A2451" s="154"/>
      <c r="B2451" s="155" t="s">
        <v>26</v>
      </c>
      <c r="C2451" s="156"/>
      <c r="D2451" s="154"/>
      <c r="E2451" s="157"/>
      <c r="F2451" s="158"/>
      <c r="G2451" s="159">
        <f>SUM(G2436:G2450)/2</f>
        <v>86292000</v>
      </c>
      <c r="H2451" s="160"/>
      <c r="IX2451" s="35"/>
      <c r="IY2451" s="35"/>
      <c r="ST2451" s="35"/>
      <c r="SU2451" s="35"/>
      <c r="ACP2451" s="35"/>
      <c r="ACQ2451" s="35"/>
      <c r="AML2451" s="35"/>
      <c r="AMM2451" s="35"/>
      <c r="AWH2451" s="35"/>
      <c r="AWI2451" s="35"/>
      <c r="BGD2451" s="35"/>
      <c r="BGE2451" s="35"/>
      <c r="BPZ2451" s="35"/>
      <c r="BQA2451" s="35"/>
      <c r="BZV2451" s="35"/>
      <c r="BZW2451" s="35"/>
      <c r="CJR2451" s="35"/>
      <c r="CJS2451" s="35"/>
      <c r="CTN2451" s="35"/>
      <c r="CTO2451" s="35"/>
      <c r="DDJ2451" s="35"/>
      <c r="DDK2451" s="35"/>
      <c r="DNF2451" s="35"/>
      <c r="DNG2451" s="35"/>
      <c r="DXB2451" s="35"/>
      <c r="DXC2451" s="35"/>
      <c r="EGX2451" s="35"/>
      <c r="EGY2451" s="35"/>
      <c r="EQT2451" s="35"/>
      <c r="EQU2451" s="35"/>
      <c r="FAP2451" s="35"/>
      <c r="FAQ2451" s="35"/>
      <c r="FKL2451" s="35"/>
      <c r="FKM2451" s="35"/>
      <c r="FUH2451" s="35"/>
      <c r="FUI2451" s="35"/>
      <c r="GED2451" s="35"/>
      <c r="GEE2451" s="35"/>
      <c r="GNZ2451" s="35"/>
      <c r="GOA2451" s="35"/>
      <c r="GXV2451" s="35"/>
      <c r="GXW2451" s="35"/>
      <c r="HHR2451" s="35"/>
      <c r="HHS2451" s="35"/>
      <c r="HRN2451" s="35"/>
      <c r="HRO2451" s="35"/>
      <c r="IBJ2451" s="35"/>
      <c r="IBK2451" s="35"/>
      <c r="ILF2451" s="35"/>
      <c r="ILG2451" s="35"/>
      <c r="IVB2451" s="35"/>
      <c r="IVC2451" s="35"/>
      <c r="JEX2451" s="35"/>
      <c r="JEY2451" s="35"/>
      <c r="JOT2451" s="35"/>
      <c r="JOU2451" s="35"/>
      <c r="JYP2451" s="35"/>
      <c r="JYQ2451" s="35"/>
      <c r="KIL2451" s="35"/>
      <c r="KIM2451" s="35"/>
      <c r="KSH2451" s="35"/>
      <c r="KSI2451" s="35"/>
      <c r="LCD2451" s="35"/>
      <c r="LCE2451" s="35"/>
      <c r="LLZ2451" s="35"/>
      <c r="LMA2451" s="35"/>
      <c r="LVV2451" s="35"/>
      <c r="LVW2451" s="35"/>
      <c r="MFR2451" s="35"/>
      <c r="MFS2451" s="35"/>
      <c r="MPN2451" s="35"/>
      <c r="MPO2451" s="35"/>
      <c r="MZJ2451" s="35"/>
      <c r="MZK2451" s="35"/>
      <c r="NJF2451" s="35"/>
      <c r="NJG2451" s="35"/>
      <c r="NTB2451" s="35"/>
      <c r="NTC2451" s="35"/>
      <c r="OCX2451" s="35"/>
      <c r="OCY2451" s="35"/>
      <c r="OMT2451" s="35"/>
      <c r="OMU2451" s="35"/>
      <c r="OWP2451" s="35"/>
      <c r="OWQ2451" s="35"/>
      <c r="PGL2451" s="35"/>
      <c r="PGM2451" s="35"/>
      <c r="PQH2451" s="35"/>
      <c r="PQI2451" s="35"/>
      <c r="QAD2451" s="35"/>
      <c r="QAE2451" s="35"/>
      <c r="QJZ2451" s="35"/>
      <c r="QKA2451" s="35"/>
      <c r="QTV2451" s="35"/>
      <c r="QTW2451" s="35"/>
      <c r="RDR2451" s="35"/>
      <c r="RDS2451" s="35"/>
      <c r="RNN2451" s="35"/>
      <c r="RNO2451" s="35"/>
      <c r="RXJ2451" s="35"/>
      <c r="RXK2451" s="35"/>
      <c r="SHF2451" s="35"/>
      <c r="SHG2451" s="35"/>
      <c r="SRB2451" s="35"/>
      <c r="SRC2451" s="35"/>
      <c r="TAX2451" s="35"/>
      <c r="TAY2451" s="35"/>
      <c r="TKT2451" s="35"/>
      <c r="TKU2451" s="35"/>
      <c r="TUP2451" s="35"/>
      <c r="TUQ2451" s="35"/>
      <c r="UEL2451" s="35"/>
      <c r="UEM2451" s="35"/>
      <c r="UOH2451" s="35"/>
      <c r="UOI2451" s="35"/>
      <c r="UYD2451" s="35"/>
      <c r="UYE2451" s="35"/>
      <c r="VHZ2451" s="35"/>
      <c r="VIA2451" s="35"/>
      <c r="VRV2451" s="35"/>
      <c r="VRW2451" s="35"/>
      <c r="WBR2451" s="35"/>
      <c r="WBS2451" s="35"/>
      <c r="WLN2451" s="35"/>
      <c r="WLO2451" s="35"/>
      <c r="WVJ2451" s="35"/>
      <c r="WVK2451" s="35"/>
    </row>
    <row r="2452" spans="1:771 1026:1795 2050:2819 3074:3843 4098:4867 5122:5891 6146:6915 7170:7939 8194:8963 9218:9987 10242:11011 11266:12035 12290:13059 13314:14083 14338:15107 15362:16131" s="35" customFormat="1" ht="69" x14ac:dyDescent="0.3">
      <c r="A2452" s="28">
        <v>229</v>
      </c>
      <c r="B2452" s="29" t="s">
        <v>1864</v>
      </c>
      <c r="C2452" s="30" t="s">
        <v>2299</v>
      </c>
      <c r="D2452" s="31" t="s">
        <v>13</v>
      </c>
      <c r="E2452" s="32">
        <v>15</v>
      </c>
      <c r="F2452" s="33"/>
      <c r="G2452" s="33"/>
      <c r="H2452" s="34" t="s">
        <v>1865</v>
      </c>
    </row>
    <row r="2453" spans="1:771 1026:1795 2050:2819 3074:3843 4098:4867 5122:5891 6146:6915 7170:7939 8194:8963 9218:9987 10242:11011 11266:12035 12290:13059 13314:14083 14338:15107 15362:16131" s="35" customFormat="1" ht="27.6" x14ac:dyDescent="0.3">
      <c r="A2453" s="36"/>
      <c r="B2453" s="37" t="s">
        <v>1743</v>
      </c>
      <c r="C2453" s="38" t="s">
        <v>14</v>
      </c>
      <c r="D2453" s="39"/>
      <c r="E2453" s="44"/>
      <c r="F2453" s="40"/>
      <c r="G2453" s="41">
        <f>SUM(G2454)</f>
        <v>292185000</v>
      </c>
      <c r="H2453" s="42" t="s">
        <v>228</v>
      </c>
    </row>
    <row r="2454" spans="1:771 1026:1795 2050:2819 3074:3843 4098:4867 5122:5891 6146:6915 7170:7939 8194:8963 9218:9987 10242:11011 11266:12035 12290:13059 13314:14083 14338:15107 15362:16131" s="35" customFormat="1" ht="18.600000000000001" x14ac:dyDescent="0.3">
      <c r="A2454" s="36"/>
      <c r="B2454" s="37" t="s">
        <v>1866</v>
      </c>
      <c r="C2454" s="48" t="s">
        <v>38</v>
      </c>
      <c r="D2454" s="39" t="s">
        <v>13</v>
      </c>
      <c r="E2454" s="44">
        <v>15</v>
      </c>
      <c r="F2454" s="161">
        <v>19479000</v>
      </c>
      <c r="G2454" s="40">
        <f>E2454*F2454</f>
        <v>292185000</v>
      </c>
      <c r="H2454" s="42"/>
    </row>
    <row r="2455" spans="1:771 1026:1795 2050:2819 3074:3843 4098:4867 5122:5891 6146:6915 7170:7939 8194:8963 9218:9987 10242:11011 11266:12035 12290:13059 13314:14083 14338:15107 15362:16131" s="35" customFormat="1" ht="78" x14ac:dyDescent="0.3">
      <c r="A2455" s="36"/>
      <c r="B2455" s="46" t="s">
        <v>1867</v>
      </c>
      <c r="C2455" s="47" t="s">
        <v>35</v>
      </c>
      <c r="D2455" s="39"/>
      <c r="E2455" s="44"/>
      <c r="F2455" s="40"/>
      <c r="G2455" s="41">
        <f>SUM(G2456:G2463)</f>
        <v>81154056</v>
      </c>
      <c r="H2455" s="45"/>
    </row>
    <row r="2456" spans="1:771 1026:1795 2050:2819 3074:3843 4098:4867 5122:5891 6146:6915 7170:7939 8194:8963 9218:9987 10242:11011 11266:12035 12290:13059 13314:14083 14338:15107 15362:16131" s="35" customFormat="1" ht="93.6" x14ac:dyDescent="0.3">
      <c r="A2456" s="36"/>
      <c r="B2456" s="50" t="s">
        <v>1868</v>
      </c>
      <c r="C2456" s="48" t="s">
        <v>1869</v>
      </c>
      <c r="D2456" s="39"/>
      <c r="E2456" s="44"/>
      <c r="F2456" s="40"/>
      <c r="G2456" s="40">
        <f t="shared" ref="G2456:G2463" si="36">E2456*F2456</f>
        <v>0</v>
      </c>
      <c r="H2456" s="52"/>
    </row>
    <row r="2457" spans="1:771 1026:1795 2050:2819 3074:3843 4098:4867 5122:5891 6146:6915 7170:7939 8194:8963 9218:9987 10242:11011 11266:12035 12290:13059 13314:14083 14338:15107 15362:16131" s="35" customFormat="1" x14ac:dyDescent="0.3">
      <c r="A2457" s="36"/>
      <c r="B2457" s="46"/>
      <c r="C2457" s="48" t="s">
        <v>15</v>
      </c>
      <c r="D2457" s="39"/>
      <c r="E2457" s="44"/>
      <c r="F2457" s="40"/>
      <c r="G2457" s="40">
        <f t="shared" si="36"/>
        <v>0</v>
      </c>
      <c r="H2457" s="52"/>
    </row>
    <row r="2458" spans="1:771 1026:1795 2050:2819 3074:3843 4098:4867 5122:5891 6146:6915 7170:7939 8194:8963 9218:9987 10242:11011 11266:12035 12290:13059 13314:14083 14338:15107 15362:16131" s="35" customFormat="1" x14ac:dyDescent="0.3">
      <c r="A2458" s="36"/>
      <c r="B2458" s="46"/>
      <c r="C2458" s="48" t="s">
        <v>1748</v>
      </c>
      <c r="D2458" s="39" t="s">
        <v>891</v>
      </c>
      <c r="E2458" s="44">
        <f>(3.35+4.55)*4.14*0.5</f>
        <v>16.352999999999998</v>
      </c>
      <c r="F2458" s="40">
        <v>3592000</v>
      </c>
      <c r="G2458" s="40">
        <f t="shared" si="36"/>
        <v>58739975.999999993</v>
      </c>
      <c r="H2458" s="52" t="s">
        <v>2375</v>
      </c>
    </row>
    <row r="2459" spans="1:771 1026:1795 2050:2819 3074:3843 4098:4867 5122:5891 6146:6915 7170:7939 8194:8963 9218:9987 10242:11011 11266:12035 12290:13059 13314:14083 14338:15107 15362:16131" s="35" customFormat="1" ht="93.6" x14ac:dyDescent="0.3">
      <c r="A2459" s="36"/>
      <c r="B2459" s="46"/>
      <c r="C2459" s="48" t="s">
        <v>1870</v>
      </c>
      <c r="D2459" s="39"/>
      <c r="E2459" s="44"/>
      <c r="F2459" s="40"/>
      <c r="G2459" s="40">
        <f t="shared" si="36"/>
        <v>0</v>
      </c>
      <c r="H2459" s="52"/>
    </row>
    <row r="2460" spans="1:771 1026:1795 2050:2819 3074:3843 4098:4867 5122:5891 6146:6915 7170:7939 8194:8963 9218:9987 10242:11011 11266:12035 12290:13059 13314:14083 14338:15107 15362:16131" s="35" customFormat="1" x14ac:dyDescent="0.3">
      <c r="A2460" s="36"/>
      <c r="B2460" s="46"/>
      <c r="C2460" s="48" t="s">
        <v>15</v>
      </c>
      <c r="D2460" s="39"/>
      <c r="E2460" s="44"/>
      <c r="F2460" s="40"/>
      <c r="G2460" s="40">
        <f t="shared" si="36"/>
        <v>0</v>
      </c>
      <c r="H2460" s="52"/>
    </row>
    <row r="2461" spans="1:771 1026:1795 2050:2819 3074:3843 4098:4867 5122:5891 6146:6915 7170:7939 8194:8963 9218:9987 10242:11011 11266:12035 12290:13059 13314:14083 14338:15107 15362:16131" s="35" customFormat="1" ht="41.4" x14ac:dyDescent="0.3">
      <c r="A2461" s="36"/>
      <c r="B2461" s="46"/>
      <c r="C2461" s="48" t="s">
        <v>1775</v>
      </c>
      <c r="D2461" s="39" t="s">
        <v>891</v>
      </c>
      <c r="E2461" s="44">
        <f>2.08*3</f>
        <v>6.24</v>
      </c>
      <c r="F2461" s="40">
        <v>3592000</v>
      </c>
      <c r="G2461" s="40">
        <f t="shared" si="36"/>
        <v>22414080</v>
      </c>
      <c r="H2461" s="42" t="s">
        <v>2577</v>
      </c>
    </row>
    <row r="2462" spans="1:771 1026:1795 2050:2819 3074:3843 4098:4867 5122:5891 6146:6915 7170:7939 8194:8963 9218:9987 10242:11011 11266:12035 12290:13059 13314:14083 14338:15107 15362:16131" s="35" customFormat="1" x14ac:dyDescent="0.3">
      <c r="A2462" s="36"/>
      <c r="B2462" s="46"/>
      <c r="C2462" s="48" t="s">
        <v>105</v>
      </c>
      <c r="D2462" s="39" t="s">
        <v>106</v>
      </c>
      <c r="E2462" s="44">
        <v>1</v>
      </c>
      <c r="F2462" s="40"/>
      <c r="G2462" s="40">
        <f t="shared" si="36"/>
        <v>0</v>
      </c>
      <c r="H2462" s="52" t="s">
        <v>2353</v>
      </c>
    </row>
    <row r="2463" spans="1:771 1026:1795 2050:2819 3074:3843 4098:4867 5122:5891 6146:6915 7170:7939 8194:8963 9218:9987 10242:11011 11266:12035 12290:13059 13314:14083 14338:15107 15362:16131" s="35" customFormat="1" x14ac:dyDescent="0.3">
      <c r="A2463" s="36"/>
      <c r="B2463" s="46"/>
      <c r="C2463" s="48" t="s">
        <v>1793</v>
      </c>
      <c r="D2463" s="39" t="s">
        <v>106</v>
      </c>
      <c r="E2463" s="44">
        <v>1</v>
      </c>
      <c r="F2463" s="40"/>
      <c r="G2463" s="40">
        <f t="shared" si="36"/>
        <v>0</v>
      </c>
      <c r="H2463" s="52" t="s">
        <v>2352</v>
      </c>
    </row>
    <row r="2464" spans="1:771 1026:1795 2050:2819 3074:3843 4098:4867 5122:5891 6146:6915 7170:7939 8194:8963 9218:9987 10242:11011 11266:12035 12290:13059 13314:14083 14338:15107 15362:16131" s="35" customFormat="1" x14ac:dyDescent="0.3">
      <c r="A2464" s="36"/>
      <c r="B2464" s="46"/>
      <c r="C2464" s="51" t="s">
        <v>20</v>
      </c>
      <c r="D2464" s="39"/>
      <c r="E2464" s="44"/>
      <c r="F2464" s="40"/>
      <c r="G2464" s="41">
        <f>SUM(G2465:G2466)</f>
        <v>1239000</v>
      </c>
      <c r="H2464" s="52"/>
    </row>
    <row r="2465" spans="1:771 1026:1795 2050:2819 3074:3843 4098:4867 5122:5891 6146:6915 7170:7939 8194:8963 9218:9987 10242:11011 11266:12035 12290:13059 13314:14083 14338:15107 15362:16131" s="35" customFormat="1" ht="27.6" x14ac:dyDescent="0.3">
      <c r="A2465" s="36"/>
      <c r="B2465" s="46"/>
      <c r="C2465" s="50" t="s">
        <v>1871</v>
      </c>
      <c r="D2465" s="39" t="s">
        <v>21</v>
      </c>
      <c r="E2465" s="44">
        <v>1</v>
      </c>
      <c r="F2465" s="40">
        <v>639000</v>
      </c>
      <c r="G2465" s="40">
        <f>E2465*F2465</f>
        <v>639000</v>
      </c>
      <c r="H2465" s="42" t="s">
        <v>1768</v>
      </c>
    </row>
    <row r="2466" spans="1:771 1026:1795 2050:2819 3074:3843 4098:4867 5122:5891 6146:6915 7170:7939 8194:8963 9218:9987 10242:11011 11266:12035 12290:13059 13314:14083 14338:15107 15362:16131" s="35" customFormat="1" ht="27.6" x14ac:dyDescent="0.3">
      <c r="A2466" s="36"/>
      <c r="B2466" s="46"/>
      <c r="C2466" s="50" t="s">
        <v>1872</v>
      </c>
      <c r="D2466" s="39" t="s">
        <v>21</v>
      </c>
      <c r="E2466" s="44">
        <v>1</v>
      </c>
      <c r="F2466" s="40">
        <v>600000</v>
      </c>
      <c r="G2466" s="40">
        <f>E2466*F2466</f>
        <v>600000</v>
      </c>
      <c r="H2466" s="42" t="s">
        <v>1768</v>
      </c>
    </row>
    <row r="2467" spans="1:771 1026:1795 2050:2819 3074:3843 4098:4867 5122:5891 6146:6915 7170:7939 8194:8963 9218:9987 10242:11011 11266:12035 12290:13059 13314:14083 14338:15107 15362:16131" s="35" customFormat="1" ht="65.400000000000006" thickBot="1" x14ac:dyDescent="0.35">
      <c r="A2467" s="53"/>
      <c r="B2467" s="54"/>
      <c r="C2467" s="55" t="s">
        <v>2331</v>
      </c>
      <c r="D2467" s="56"/>
      <c r="E2467" s="71"/>
      <c r="F2467" s="57"/>
      <c r="G2467" s="57"/>
      <c r="H2467" s="58"/>
    </row>
    <row r="2468" spans="1:771 1026:1795 2050:2819 3074:3843 4098:4867 5122:5891 6146:6915 7170:7939 8194:8963 9218:9987 10242:11011 11266:12035 12290:13059 13314:14083 14338:15107 15362:16131" s="59" customFormat="1" ht="31.8" thickBot="1" x14ac:dyDescent="0.35">
      <c r="A2468" s="154"/>
      <c r="B2468" s="155" t="s">
        <v>26</v>
      </c>
      <c r="C2468" s="156"/>
      <c r="D2468" s="154"/>
      <c r="E2468" s="157"/>
      <c r="F2468" s="158"/>
      <c r="G2468" s="159">
        <f>SUM(G2452:G2467)/2</f>
        <v>374578056</v>
      </c>
      <c r="H2468" s="160"/>
      <c r="IX2468" s="35"/>
      <c r="IY2468" s="35"/>
      <c r="ST2468" s="35"/>
      <c r="SU2468" s="35"/>
      <c r="ACP2468" s="35"/>
      <c r="ACQ2468" s="35"/>
      <c r="AML2468" s="35"/>
      <c r="AMM2468" s="35"/>
      <c r="AWH2468" s="35"/>
      <c r="AWI2468" s="35"/>
      <c r="BGD2468" s="35"/>
      <c r="BGE2468" s="35"/>
      <c r="BPZ2468" s="35"/>
      <c r="BQA2468" s="35"/>
      <c r="BZV2468" s="35"/>
      <c r="BZW2468" s="35"/>
      <c r="CJR2468" s="35"/>
      <c r="CJS2468" s="35"/>
      <c r="CTN2468" s="35"/>
      <c r="CTO2468" s="35"/>
      <c r="DDJ2468" s="35"/>
      <c r="DDK2468" s="35"/>
      <c r="DNF2468" s="35"/>
      <c r="DNG2468" s="35"/>
      <c r="DXB2468" s="35"/>
      <c r="DXC2468" s="35"/>
      <c r="EGX2468" s="35"/>
      <c r="EGY2468" s="35"/>
      <c r="EQT2468" s="35"/>
      <c r="EQU2468" s="35"/>
      <c r="FAP2468" s="35"/>
      <c r="FAQ2468" s="35"/>
      <c r="FKL2468" s="35"/>
      <c r="FKM2468" s="35"/>
      <c r="FUH2468" s="35"/>
      <c r="FUI2468" s="35"/>
      <c r="GED2468" s="35"/>
      <c r="GEE2468" s="35"/>
      <c r="GNZ2468" s="35"/>
      <c r="GOA2468" s="35"/>
      <c r="GXV2468" s="35"/>
      <c r="GXW2468" s="35"/>
      <c r="HHR2468" s="35"/>
      <c r="HHS2468" s="35"/>
      <c r="HRN2468" s="35"/>
      <c r="HRO2468" s="35"/>
      <c r="IBJ2468" s="35"/>
      <c r="IBK2468" s="35"/>
      <c r="ILF2468" s="35"/>
      <c r="ILG2468" s="35"/>
      <c r="IVB2468" s="35"/>
      <c r="IVC2468" s="35"/>
      <c r="JEX2468" s="35"/>
      <c r="JEY2468" s="35"/>
      <c r="JOT2468" s="35"/>
      <c r="JOU2468" s="35"/>
      <c r="JYP2468" s="35"/>
      <c r="JYQ2468" s="35"/>
      <c r="KIL2468" s="35"/>
      <c r="KIM2468" s="35"/>
      <c r="KSH2468" s="35"/>
      <c r="KSI2468" s="35"/>
      <c r="LCD2468" s="35"/>
      <c r="LCE2468" s="35"/>
      <c r="LLZ2468" s="35"/>
      <c r="LMA2468" s="35"/>
      <c r="LVV2468" s="35"/>
      <c r="LVW2468" s="35"/>
      <c r="MFR2468" s="35"/>
      <c r="MFS2468" s="35"/>
      <c r="MPN2468" s="35"/>
      <c r="MPO2468" s="35"/>
      <c r="MZJ2468" s="35"/>
      <c r="MZK2468" s="35"/>
      <c r="NJF2468" s="35"/>
      <c r="NJG2468" s="35"/>
      <c r="NTB2468" s="35"/>
      <c r="NTC2468" s="35"/>
      <c r="OCX2468" s="35"/>
      <c r="OCY2468" s="35"/>
      <c r="OMT2468" s="35"/>
      <c r="OMU2468" s="35"/>
      <c r="OWP2468" s="35"/>
      <c r="OWQ2468" s="35"/>
      <c r="PGL2468" s="35"/>
      <c r="PGM2468" s="35"/>
      <c r="PQH2468" s="35"/>
      <c r="PQI2468" s="35"/>
      <c r="QAD2468" s="35"/>
      <c r="QAE2468" s="35"/>
      <c r="QJZ2468" s="35"/>
      <c r="QKA2468" s="35"/>
      <c r="QTV2468" s="35"/>
      <c r="QTW2468" s="35"/>
      <c r="RDR2468" s="35"/>
      <c r="RDS2468" s="35"/>
      <c r="RNN2468" s="35"/>
      <c r="RNO2468" s="35"/>
      <c r="RXJ2468" s="35"/>
      <c r="RXK2468" s="35"/>
      <c r="SHF2468" s="35"/>
      <c r="SHG2468" s="35"/>
      <c r="SRB2468" s="35"/>
      <c r="SRC2468" s="35"/>
      <c r="TAX2468" s="35"/>
      <c r="TAY2468" s="35"/>
      <c r="TKT2468" s="35"/>
      <c r="TKU2468" s="35"/>
      <c r="TUP2468" s="35"/>
      <c r="TUQ2468" s="35"/>
      <c r="UEL2468" s="35"/>
      <c r="UEM2468" s="35"/>
      <c r="UOH2468" s="35"/>
      <c r="UOI2468" s="35"/>
      <c r="UYD2468" s="35"/>
      <c r="UYE2468" s="35"/>
      <c r="VHZ2468" s="35"/>
      <c r="VIA2468" s="35"/>
      <c r="VRV2468" s="35"/>
      <c r="VRW2468" s="35"/>
      <c r="WBR2468" s="35"/>
      <c r="WBS2468" s="35"/>
      <c r="WLN2468" s="35"/>
      <c r="WLO2468" s="35"/>
      <c r="WVJ2468" s="35"/>
      <c r="WVK2468" s="35"/>
    </row>
    <row r="2469" spans="1:771 1026:1795 2050:2819 3074:3843 4098:4867 5122:5891 6146:6915 7170:7939 8194:8963 9218:9987 10242:11011 11266:12035 12290:13059 13314:14083 14338:15107 15362:16131" s="35" customFormat="1" ht="55.2" x14ac:dyDescent="0.3">
      <c r="A2469" s="28">
        <v>230</v>
      </c>
      <c r="B2469" s="29" t="s">
        <v>2297</v>
      </c>
      <c r="C2469" s="30" t="s">
        <v>2296</v>
      </c>
      <c r="D2469" s="31" t="s">
        <v>13</v>
      </c>
      <c r="E2469" s="32">
        <v>12</v>
      </c>
      <c r="F2469" s="33"/>
      <c r="G2469" s="33"/>
      <c r="H2469" s="34" t="s">
        <v>1873</v>
      </c>
    </row>
    <row r="2470" spans="1:771 1026:1795 2050:2819 3074:3843 4098:4867 5122:5891 6146:6915 7170:7939 8194:8963 9218:9987 10242:11011 11266:12035 12290:13059 13314:14083 14338:15107 15362:16131" s="35" customFormat="1" ht="27.6" x14ac:dyDescent="0.3">
      <c r="A2470" s="36"/>
      <c r="B2470" s="37" t="s">
        <v>1874</v>
      </c>
      <c r="C2470" s="38" t="s">
        <v>14</v>
      </c>
      <c r="D2470" s="39"/>
      <c r="E2470" s="44"/>
      <c r="F2470" s="40"/>
      <c r="G2470" s="41">
        <f>SUM(G2471)</f>
        <v>124848000</v>
      </c>
      <c r="H2470" s="42" t="s">
        <v>1368</v>
      </c>
    </row>
    <row r="2471" spans="1:771 1026:1795 2050:2819 3074:3843 4098:4867 5122:5891 6146:6915 7170:7939 8194:8963 9218:9987 10242:11011 11266:12035 12290:13059 13314:14083 14338:15107 15362:16131" s="35" customFormat="1" ht="31.2" x14ac:dyDescent="0.3">
      <c r="A2471" s="36"/>
      <c r="B2471" s="37" t="s">
        <v>1875</v>
      </c>
      <c r="C2471" s="48" t="s">
        <v>55</v>
      </c>
      <c r="D2471" s="39" t="s">
        <v>13</v>
      </c>
      <c r="E2471" s="44">
        <v>12</v>
      </c>
      <c r="F2471" s="153">
        <v>10404000</v>
      </c>
      <c r="G2471" s="40">
        <f>E2471*F2471</f>
        <v>124848000</v>
      </c>
      <c r="H2471" s="42"/>
    </row>
    <row r="2472" spans="1:771 1026:1795 2050:2819 3074:3843 4098:4867 5122:5891 6146:6915 7170:7939 8194:8963 9218:9987 10242:11011 11266:12035 12290:13059 13314:14083 14338:15107 15362:16131" s="35" customFormat="1" ht="78" x14ac:dyDescent="0.3">
      <c r="A2472" s="36"/>
      <c r="B2472" s="46" t="s">
        <v>1876</v>
      </c>
      <c r="C2472" s="43" t="s">
        <v>159</v>
      </c>
      <c r="D2472" s="39"/>
      <c r="E2472" s="44"/>
      <c r="F2472" s="40"/>
      <c r="G2472" s="40"/>
      <c r="H2472" s="42"/>
    </row>
    <row r="2473" spans="1:771 1026:1795 2050:2819 3074:3843 4098:4867 5122:5891 6146:6915 7170:7939 8194:8963 9218:9987 10242:11011 11266:12035 12290:13059 13314:14083 14338:15107 15362:16131" s="35" customFormat="1" x14ac:dyDescent="0.3">
      <c r="A2473" s="36"/>
      <c r="B2473" s="50" t="s">
        <v>1877</v>
      </c>
      <c r="C2473" s="51" t="s">
        <v>23</v>
      </c>
      <c r="D2473" s="39"/>
      <c r="E2473" s="1"/>
      <c r="F2473" s="2"/>
      <c r="G2473" s="41">
        <f>SUM(G2474)</f>
        <v>6120000</v>
      </c>
      <c r="H2473" s="52"/>
    </row>
    <row r="2474" spans="1:771 1026:1795 2050:2819 3074:3843 4098:4867 5122:5891 6146:6915 7170:7939 8194:8963 9218:9987 10242:11011 11266:12035 12290:13059 13314:14083 14338:15107 15362:16131" s="35" customFormat="1" x14ac:dyDescent="0.3">
      <c r="A2474" s="36"/>
      <c r="B2474" s="46"/>
      <c r="C2474" s="50" t="s">
        <v>24</v>
      </c>
      <c r="D2474" s="39" t="s">
        <v>25</v>
      </c>
      <c r="E2474" s="1">
        <f>2*30*6</f>
        <v>360</v>
      </c>
      <c r="F2474" s="2">
        <v>17000</v>
      </c>
      <c r="G2474" s="40">
        <f>E2474*F2474</f>
        <v>6120000</v>
      </c>
      <c r="H2474" s="42"/>
    </row>
    <row r="2475" spans="1:771 1026:1795 2050:2819 3074:3843 4098:4867 5122:5891 6146:6915 7170:7939 8194:8963 9218:9987 10242:11011 11266:12035 12290:13059 13314:14083 14338:15107 15362:16131" s="35" customFormat="1" ht="65.400000000000006" thickBot="1" x14ac:dyDescent="0.35">
      <c r="A2475" s="53"/>
      <c r="B2475" s="54"/>
      <c r="C2475" s="55" t="s">
        <v>2331</v>
      </c>
      <c r="D2475" s="56"/>
      <c r="E2475" s="71"/>
      <c r="F2475" s="57"/>
      <c r="G2475" s="57"/>
      <c r="H2475" s="58"/>
    </row>
    <row r="2476" spans="1:771 1026:1795 2050:2819 3074:3843 4098:4867 5122:5891 6146:6915 7170:7939 8194:8963 9218:9987 10242:11011 11266:12035 12290:13059 13314:14083 14338:15107 15362:16131" s="59" customFormat="1" ht="31.8" thickBot="1" x14ac:dyDescent="0.35">
      <c r="A2476" s="154"/>
      <c r="B2476" s="155" t="s">
        <v>26</v>
      </c>
      <c r="C2476" s="156"/>
      <c r="D2476" s="154"/>
      <c r="E2476" s="157"/>
      <c r="F2476" s="158"/>
      <c r="G2476" s="159">
        <f>SUM(G2469:G2475)/2</f>
        <v>130968000</v>
      </c>
      <c r="H2476" s="160"/>
      <c r="IX2476" s="35"/>
      <c r="IY2476" s="35"/>
      <c r="ST2476" s="35"/>
      <c r="SU2476" s="35"/>
      <c r="ACP2476" s="35"/>
      <c r="ACQ2476" s="35"/>
      <c r="AML2476" s="35"/>
      <c r="AMM2476" s="35"/>
      <c r="AWH2476" s="35"/>
      <c r="AWI2476" s="35"/>
      <c r="BGD2476" s="35"/>
      <c r="BGE2476" s="35"/>
      <c r="BPZ2476" s="35"/>
      <c r="BQA2476" s="35"/>
      <c r="BZV2476" s="35"/>
      <c r="BZW2476" s="35"/>
      <c r="CJR2476" s="35"/>
      <c r="CJS2476" s="35"/>
      <c r="CTN2476" s="35"/>
      <c r="CTO2476" s="35"/>
      <c r="DDJ2476" s="35"/>
      <c r="DDK2476" s="35"/>
      <c r="DNF2476" s="35"/>
      <c r="DNG2476" s="35"/>
      <c r="DXB2476" s="35"/>
      <c r="DXC2476" s="35"/>
      <c r="EGX2476" s="35"/>
      <c r="EGY2476" s="35"/>
      <c r="EQT2476" s="35"/>
      <c r="EQU2476" s="35"/>
      <c r="FAP2476" s="35"/>
      <c r="FAQ2476" s="35"/>
      <c r="FKL2476" s="35"/>
      <c r="FKM2476" s="35"/>
      <c r="FUH2476" s="35"/>
      <c r="FUI2476" s="35"/>
      <c r="GED2476" s="35"/>
      <c r="GEE2476" s="35"/>
      <c r="GNZ2476" s="35"/>
      <c r="GOA2476" s="35"/>
      <c r="GXV2476" s="35"/>
      <c r="GXW2476" s="35"/>
      <c r="HHR2476" s="35"/>
      <c r="HHS2476" s="35"/>
      <c r="HRN2476" s="35"/>
      <c r="HRO2476" s="35"/>
      <c r="IBJ2476" s="35"/>
      <c r="IBK2476" s="35"/>
      <c r="ILF2476" s="35"/>
      <c r="ILG2476" s="35"/>
      <c r="IVB2476" s="35"/>
      <c r="IVC2476" s="35"/>
      <c r="JEX2476" s="35"/>
      <c r="JEY2476" s="35"/>
      <c r="JOT2476" s="35"/>
      <c r="JOU2476" s="35"/>
      <c r="JYP2476" s="35"/>
      <c r="JYQ2476" s="35"/>
      <c r="KIL2476" s="35"/>
      <c r="KIM2476" s="35"/>
      <c r="KSH2476" s="35"/>
      <c r="KSI2476" s="35"/>
      <c r="LCD2476" s="35"/>
      <c r="LCE2476" s="35"/>
      <c r="LLZ2476" s="35"/>
      <c r="LMA2476" s="35"/>
      <c r="LVV2476" s="35"/>
      <c r="LVW2476" s="35"/>
      <c r="MFR2476" s="35"/>
      <c r="MFS2476" s="35"/>
      <c r="MPN2476" s="35"/>
      <c r="MPO2476" s="35"/>
      <c r="MZJ2476" s="35"/>
      <c r="MZK2476" s="35"/>
      <c r="NJF2476" s="35"/>
      <c r="NJG2476" s="35"/>
      <c r="NTB2476" s="35"/>
      <c r="NTC2476" s="35"/>
      <c r="OCX2476" s="35"/>
      <c r="OCY2476" s="35"/>
      <c r="OMT2476" s="35"/>
      <c r="OMU2476" s="35"/>
      <c r="OWP2476" s="35"/>
      <c r="OWQ2476" s="35"/>
      <c r="PGL2476" s="35"/>
      <c r="PGM2476" s="35"/>
      <c r="PQH2476" s="35"/>
      <c r="PQI2476" s="35"/>
      <c r="QAD2476" s="35"/>
      <c r="QAE2476" s="35"/>
      <c r="QJZ2476" s="35"/>
      <c r="QKA2476" s="35"/>
      <c r="QTV2476" s="35"/>
      <c r="QTW2476" s="35"/>
      <c r="RDR2476" s="35"/>
      <c r="RDS2476" s="35"/>
      <c r="RNN2476" s="35"/>
      <c r="RNO2476" s="35"/>
      <c r="RXJ2476" s="35"/>
      <c r="RXK2476" s="35"/>
      <c r="SHF2476" s="35"/>
      <c r="SHG2476" s="35"/>
      <c r="SRB2476" s="35"/>
      <c r="SRC2476" s="35"/>
      <c r="TAX2476" s="35"/>
      <c r="TAY2476" s="35"/>
      <c r="TKT2476" s="35"/>
      <c r="TKU2476" s="35"/>
      <c r="TUP2476" s="35"/>
      <c r="TUQ2476" s="35"/>
      <c r="UEL2476" s="35"/>
      <c r="UEM2476" s="35"/>
      <c r="UOH2476" s="35"/>
      <c r="UOI2476" s="35"/>
      <c r="UYD2476" s="35"/>
      <c r="UYE2476" s="35"/>
      <c r="VHZ2476" s="35"/>
      <c r="VIA2476" s="35"/>
      <c r="VRV2476" s="35"/>
      <c r="VRW2476" s="35"/>
      <c r="WBR2476" s="35"/>
      <c r="WBS2476" s="35"/>
      <c r="WLN2476" s="35"/>
      <c r="WLO2476" s="35"/>
      <c r="WVJ2476" s="35"/>
      <c r="WVK2476" s="35"/>
    </row>
    <row r="2477" spans="1:771 1026:1795 2050:2819 3074:3843 4098:4867 5122:5891 6146:6915 7170:7939 8194:8963 9218:9987 10242:11011 11266:12035 12290:13059 13314:14083 14338:15107 15362:16131" s="35" customFormat="1" ht="46.8" x14ac:dyDescent="0.3">
      <c r="A2477" s="88">
        <v>231</v>
      </c>
      <c r="B2477" s="61" t="s">
        <v>1878</v>
      </c>
      <c r="C2477" s="30" t="s">
        <v>2335</v>
      </c>
      <c r="D2477" s="89"/>
      <c r="E2477" s="78">
        <v>74.900000000000006</v>
      </c>
      <c r="F2477" s="90"/>
      <c r="G2477" s="33"/>
      <c r="H2477" s="34" t="s">
        <v>1879</v>
      </c>
    </row>
    <row r="2478" spans="1:771 1026:1795 2050:2819 3074:3843 4098:4867 5122:5891 6146:6915 7170:7939 8194:8963 9218:9987 10242:11011 11266:12035 12290:13059 13314:14083 14338:15107 15362:16131" s="35" customFormat="1" x14ac:dyDescent="0.3">
      <c r="A2478" s="91"/>
      <c r="B2478" s="37" t="s">
        <v>1880</v>
      </c>
      <c r="C2478" s="38" t="s">
        <v>14</v>
      </c>
      <c r="D2478" s="92"/>
      <c r="E2478" s="93"/>
      <c r="F2478" s="94"/>
      <c r="G2478" s="41">
        <f>SUM(G2479)</f>
        <v>779259600</v>
      </c>
      <c r="H2478" s="93"/>
    </row>
    <row r="2479" spans="1:771 1026:1795 2050:2819 3074:3843 4098:4867 5122:5891 6146:6915 7170:7939 8194:8963 9218:9987 10242:11011 11266:12035 12290:13059 13314:14083 14338:15107 15362:16131" s="35" customFormat="1" ht="31.2" x14ac:dyDescent="0.3">
      <c r="A2479" s="95"/>
      <c r="B2479" s="37" t="s">
        <v>1881</v>
      </c>
      <c r="C2479" s="48" t="s">
        <v>55</v>
      </c>
      <c r="D2479" s="96" t="s">
        <v>891</v>
      </c>
      <c r="E2479" s="63">
        <v>74.900000000000006</v>
      </c>
      <c r="F2479" s="161">
        <v>10404000</v>
      </c>
      <c r="G2479" s="40">
        <f>E2479*F2479</f>
        <v>779259600</v>
      </c>
      <c r="H2479" s="98"/>
    </row>
    <row r="2480" spans="1:771 1026:1795 2050:2819 3074:3843 4098:4867 5122:5891 6146:6915 7170:7939 8194:8963 9218:9987 10242:11011 11266:12035 12290:13059 13314:14083 14338:15107 15362:16131" s="35" customFormat="1" ht="78" x14ac:dyDescent="0.3">
      <c r="A2480" s="115"/>
      <c r="B2480" s="46" t="s">
        <v>1882</v>
      </c>
      <c r="C2480" s="47" t="s">
        <v>35</v>
      </c>
      <c r="D2480" s="116"/>
      <c r="E2480" s="63"/>
      <c r="F2480" s="117"/>
      <c r="G2480" s="41">
        <f>SUM(G2481:G2491)</f>
        <v>2932000</v>
      </c>
      <c r="H2480" s="63"/>
    </row>
    <row r="2481" spans="1:8" s="35" customFormat="1" ht="82.8" x14ac:dyDescent="0.3">
      <c r="A2481" s="91"/>
      <c r="B2481" s="50" t="s">
        <v>1883</v>
      </c>
      <c r="C2481" s="118" t="s">
        <v>1884</v>
      </c>
      <c r="D2481" s="39"/>
      <c r="E2481" s="93"/>
      <c r="F2481" s="94"/>
      <c r="G2481" s="40">
        <f t="shared" ref="G2481:G2491" si="37">E2481*F2481</f>
        <v>0</v>
      </c>
      <c r="H2481" s="93"/>
    </row>
    <row r="2482" spans="1:8" s="35" customFormat="1" x14ac:dyDescent="0.3">
      <c r="A2482" s="91"/>
      <c r="B2482" s="93"/>
      <c r="C2482" s="48" t="s">
        <v>15</v>
      </c>
      <c r="D2482" s="39"/>
      <c r="E2482" s="93"/>
      <c r="F2482" s="94"/>
      <c r="G2482" s="40">
        <f t="shared" si="37"/>
        <v>0</v>
      </c>
      <c r="H2482" s="93"/>
    </row>
    <row r="2483" spans="1:8" s="35" customFormat="1" ht="31.2" x14ac:dyDescent="0.3">
      <c r="A2483" s="91"/>
      <c r="B2483" s="93"/>
      <c r="C2483" s="48" t="s">
        <v>1775</v>
      </c>
      <c r="D2483" s="39" t="s">
        <v>891</v>
      </c>
      <c r="E2483" s="44">
        <f>2*8</f>
        <v>16</v>
      </c>
      <c r="F2483" s="94"/>
      <c r="G2483" s="40">
        <f t="shared" si="37"/>
        <v>0</v>
      </c>
      <c r="H2483" s="20" t="s">
        <v>179</v>
      </c>
    </row>
    <row r="2484" spans="1:8" s="35" customFormat="1" x14ac:dyDescent="0.3">
      <c r="A2484" s="91"/>
      <c r="B2484" s="93"/>
      <c r="C2484" s="48" t="s">
        <v>1748</v>
      </c>
      <c r="D2484" s="39" t="s">
        <v>891</v>
      </c>
      <c r="E2484" s="44">
        <f>3*8</f>
        <v>24</v>
      </c>
      <c r="F2484" s="94"/>
      <c r="G2484" s="40">
        <f t="shared" si="37"/>
        <v>0</v>
      </c>
      <c r="H2484" s="20" t="s">
        <v>179</v>
      </c>
    </row>
    <row r="2485" spans="1:8" s="35" customFormat="1" ht="93.6" x14ac:dyDescent="0.3">
      <c r="A2485" s="91"/>
      <c r="B2485" s="93"/>
      <c r="C2485" s="48" t="s">
        <v>1885</v>
      </c>
      <c r="D2485" s="39"/>
      <c r="E2485" s="44"/>
      <c r="F2485" s="94"/>
      <c r="G2485" s="40">
        <f t="shared" si="37"/>
        <v>0</v>
      </c>
      <c r="H2485" s="93"/>
    </row>
    <row r="2486" spans="1:8" s="35" customFormat="1" x14ac:dyDescent="0.3">
      <c r="A2486" s="91"/>
      <c r="B2486" s="93"/>
      <c r="C2486" s="48" t="s">
        <v>15</v>
      </c>
      <c r="D2486" s="39"/>
      <c r="E2486" s="44"/>
      <c r="F2486" s="94"/>
      <c r="G2486" s="40">
        <f t="shared" si="37"/>
        <v>0</v>
      </c>
      <c r="H2486" s="93"/>
    </row>
    <row r="2487" spans="1:8" s="35" customFormat="1" ht="18.600000000000001" x14ac:dyDescent="0.3">
      <c r="A2487" s="91"/>
      <c r="B2487" s="93"/>
      <c r="C2487" s="48" t="s">
        <v>1739</v>
      </c>
      <c r="D2487" s="39" t="s">
        <v>13</v>
      </c>
      <c r="E2487" s="44">
        <f>(5*1.4)+(1+0.8)*8*0.5</f>
        <v>14.2</v>
      </c>
      <c r="F2487" s="94"/>
      <c r="G2487" s="40">
        <f t="shared" si="37"/>
        <v>0</v>
      </c>
      <c r="H2487" s="20" t="s">
        <v>179</v>
      </c>
    </row>
    <row r="2488" spans="1:8" s="35" customFormat="1" ht="18.600000000000001" x14ac:dyDescent="0.3">
      <c r="A2488" s="91"/>
      <c r="B2488" s="93"/>
      <c r="C2488" s="48" t="s">
        <v>1740</v>
      </c>
      <c r="D2488" s="39" t="s">
        <v>13</v>
      </c>
      <c r="E2488" s="44">
        <f>(5*3)+(2.2*0.8)</f>
        <v>16.760000000000002</v>
      </c>
      <c r="F2488" s="94"/>
      <c r="G2488" s="40">
        <f t="shared" si="37"/>
        <v>0</v>
      </c>
      <c r="H2488" s="20" t="s">
        <v>179</v>
      </c>
    </row>
    <row r="2489" spans="1:8" s="35" customFormat="1" ht="46.8" x14ac:dyDescent="0.3">
      <c r="A2489" s="91"/>
      <c r="B2489" s="93"/>
      <c r="C2489" s="98" t="s">
        <v>1886</v>
      </c>
      <c r="D2489" s="92"/>
      <c r="E2489" s="44"/>
      <c r="F2489" s="94"/>
      <c r="G2489" s="40">
        <f t="shared" si="37"/>
        <v>0</v>
      </c>
      <c r="H2489" s="93"/>
    </row>
    <row r="2490" spans="1:8" s="35" customFormat="1" x14ac:dyDescent="0.3">
      <c r="A2490" s="95"/>
      <c r="B2490" s="98"/>
      <c r="C2490" s="48" t="s">
        <v>15</v>
      </c>
      <c r="D2490" s="39"/>
      <c r="E2490" s="44"/>
      <c r="F2490" s="99"/>
      <c r="G2490" s="40">
        <f t="shared" si="37"/>
        <v>0</v>
      </c>
      <c r="H2490" s="98"/>
    </row>
    <row r="2491" spans="1:8" s="35" customFormat="1" ht="46.8" x14ac:dyDescent="0.3">
      <c r="A2491" s="115"/>
      <c r="B2491" s="63"/>
      <c r="C2491" s="48" t="s">
        <v>1739</v>
      </c>
      <c r="D2491" s="39" t="s">
        <v>13</v>
      </c>
      <c r="E2491" s="44">
        <f>2*2</f>
        <v>4</v>
      </c>
      <c r="F2491" s="117">
        <v>733000</v>
      </c>
      <c r="G2491" s="40">
        <f t="shared" si="37"/>
        <v>2932000</v>
      </c>
      <c r="H2491" s="63" t="s">
        <v>2462</v>
      </c>
    </row>
    <row r="2492" spans="1:8" s="35" customFormat="1" x14ac:dyDescent="0.3">
      <c r="A2492" s="95"/>
      <c r="B2492" s="98"/>
      <c r="C2492" s="51" t="s">
        <v>20</v>
      </c>
      <c r="D2492" s="96"/>
      <c r="E2492" s="98"/>
      <c r="F2492" s="99"/>
      <c r="G2492" s="41">
        <f>SUM(G2493:G2499)</f>
        <v>1224000</v>
      </c>
      <c r="H2492" s="98"/>
    </row>
    <row r="2493" spans="1:8" s="35" customFormat="1" x14ac:dyDescent="0.3">
      <c r="A2493" s="95"/>
      <c r="B2493" s="98"/>
      <c r="C2493" s="75" t="s">
        <v>1887</v>
      </c>
      <c r="D2493" s="76" t="s">
        <v>22</v>
      </c>
      <c r="E2493" s="44">
        <v>14</v>
      </c>
      <c r="F2493" s="40">
        <v>10000</v>
      </c>
      <c r="G2493" s="40">
        <f t="shared" ref="G2493:G2499" si="38">E2493*F2493</f>
        <v>140000</v>
      </c>
      <c r="H2493" s="42"/>
    </row>
    <row r="2494" spans="1:8" s="35" customFormat="1" x14ac:dyDescent="0.3">
      <c r="A2494" s="95"/>
      <c r="B2494" s="98"/>
      <c r="C2494" s="75" t="s">
        <v>196</v>
      </c>
      <c r="D2494" s="76" t="s">
        <v>22</v>
      </c>
      <c r="E2494" s="44">
        <v>10</v>
      </c>
      <c r="F2494" s="74">
        <v>20000</v>
      </c>
      <c r="G2494" s="40">
        <f t="shared" si="38"/>
        <v>200000</v>
      </c>
      <c r="H2494" s="42"/>
    </row>
    <row r="2495" spans="1:8" s="35" customFormat="1" x14ac:dyDescent="0.3">
      <c r="A2495" s="95"/>
      <c r="B2495" s="98"/>
      <c r="C2495" s="75" t="s">
        <v>631</v>
      </c>
      <c r="D2495" s="76" t="s">
        <v>22</v>
      </c>
      <c r="E2495" s="44">
        <v>9</v>
      </c>
      <c r="F2495" s="119" t="s">
        <v>2350</v>
      </c>
      <c r="G2495" s="40">
        <f t="shared" si="38"/>
        <v>360000</v>
      </c>
      <c r="H2495" s="42"/>
    </row>
    <row r="2496" spans="1:8" s="35" customFormat="1" x14ac:dyDescent="0.3">
      <c r="A2496" s="95"/>
      <c r="B2496" s="98"/>
      <c r="C2496" s="75" t="s">
        <v>1888</v>
      </c>
      <c r="D2496" s="76" t="s">
        <v>22</v>
      </c>
      <c r="E2496" s="44">
        <v>6</v>
      </c>
      <c r="F2496" s="119" t="s">
        <v>2351</v>
      </c>
      <c r="G2496" s="40">
        <f t="shared" si="38"/>
        <v>24000</v>
      </c>
      <c r="H2496" s="42"/>
    </row>
    <row r="2497" spans="1:771 1026:1795 2050:2819 3074:3843 4098:4867 5122:5891 6146:6915 7170:7939 8194:8963 9218:9987 10242:11011 11266:12035 12290:13059 13314:14083 14338:15107 15362:16131" s="35" customFormat="1" x14ac:dyDescent="0.3">
      <c r="A2497" s="115"/>
      <c r="B2497" s="63"/>
      <c r="C2497" s="75" t="s">
        <v>1889</v>
      </c>
      <c r="D2497" s="96" t="s">
        <v>21</v>
      </c>
      <c r="E2497" s="44">
        <v>2</v>
      </c>
      <c r="F2497" s="117">
        <v>160000</v>
      </c>
      <c r="G2497" s="40">
        <f t="shared" si="38"/>
        <v>320000</v>
      </c>
      <c r="H2497" s="42"/>
    </row>
    <row r="2498" spans="1:771 1026:1795 2050:2819 3074:3843 4098:4867 5122:5891 6146:6915 7170:7939 8194:8963 9218:9987 10242:11011 11266:12035 12290:13059 13314:14083 14338:15107 15362:16131" s="35" customFormat="1" x14ac:dyDescent="0.3">
      <c r="A2498" s="91"/>
      <c r="B2498" s="93"/>
      <c r="C2498" s="75" t="s">
        <v>1890</v>
      </c>
      <c r="D2498" s="96" t="s">
        <v>21</v>
      </c>
      <c r="E2498" s="44">
        <v>1</v>
      </c>
      <c r="F2498" s="74">
        <v>100000</v>
      </c>
      <c r="G2498" s="40">
        <f t="shared" si="38"/>
        <v>100000</v>
      </c>
      <c r="H2498" s="42"/>
    </row>
    <row r="2499" spans="1:771 1026:1795 2050:2819 3074:3843 4098:4867 5122:5891 6146:6915 7170:7939 8194:8963 9218:9987 10242:11011 11266:12035 12290:13059 13314:14083 14338:15107 15362:16131" s="35" customFormat="1" x14ac:dyDescent="0.3">
      <c r="A2499" s="36"/>
      <c r="B2499" s="46"/>
      <c r="C2499" s="75" t="s">
        <v>1891</v>
      </c>
      <c r="D2499" s="96" t="s">
        <v>21</v>
      </c>
      <c r="E2499" s="44">
        <v>1</v>
      </c>
      <c r="F2499" s="2">
        <v>80000</v>
      </c>
      <c r="G2499" s="40">
        <f t="shared" si="38"/>
        <v>80000</v>
      </c>
      <c r="H2499" s="42"/>
    </row>
    <row r="2500" spans="1:771 1026:1795 2050:2819 3074:3843 4098:4867 5122:5891 6146:6915 7170:7939 8194:8963 9218:9987 10242:11011 11266:12035 12290:13059 13314:14083 14338:15107 15362:16131" s="35" customFormat="1" x14ac:dyDescent="0.3">
      <c r="A2500" s="36"/>
      <c r="B2500" s="46"/>
      <c r="C2500" s="51" t="s">
        <v>23</v>
      </c>
      <c r="D2500" s="39"/>
      <c r="E2500" s="1"/>
      <c r="F2500" s="2"/>
      <c r="G2500" s="41">
        <f>SUM(G2501:G2502)</f>
        <v>3060000</v>
      </c>
      <c r="H2500" s="52"/>
    </row>
    <row r="2501" spans="1:771 1026:1795 2050:2819 3074:3843 4098:4867 5122:5891 6146:6915 7170:7939 8194:8963 9218:9987 10242:11011 11266:12035 12290:13059 13314:14083 14338:15107 15362:16131" s="35" customFormat="1" x14ac:dyDescent="0.3">
      <c r="A2501" s="36"/>
      <c r="B2501" s="46"/>
      <c r="C2501" s="50" t="s">
        <v>24</v>
      </c>
      <c r="D2501" s="39" t="s">
        <v>25</v>
      </c>
      <c r="E2501" s="1">
        <f>1*30*6</f>
        <v>180</v>
      </c>
      <c r="F2501" s="2">
        <v>17000</v>
      </c>
      <c r="G2501" s="40">
        <f>E2501*F2501</f>
        <v>3060000</v>
      </c>
      <c r="H2501" s="42"/>
    </row>
    <row r="2502" spans="1:771 1026:1795 2050:2819 3074:3843 4098:4867 5122:5891 6146:6915 7170:7939 8194:8963 9218:9987 10242:11011 11266:12035 12290:13059 13314:14083 14338:15107 15362:16131" s="35" customFormat="1" ht="65.400000000000006" thickBot="1" x14ac:dyDescent="0.35">
      <c r="A2502" s="53"/>
      <c r="B2502" s="54"/>
      <c r="C2502" s="55" t="s">
        <v>2331</v>
      </c>
      <c r="D2502" s="56"/>
      <c r="E2502" s="71"/>
      <c r="F2502" s="57"/>
      <c r="G2502" s="57"/>
      <c r="H2502" s="58"/>
    </row>
    <row r="2503" spans="1:771 1026:1795 2050:2819 3074:3843 4098:4867 5122:5891 6146:6915 7170:7939 8194:8963 9218:9987 10242:11011 11266:12035 12290:13059 13314:14083 14338:15107 15362:16131" s="59" customFormat="1" ht="31.8" thickBot="1" x14ac:dyDescent="0.35">
      <c r="A2503" s="154"/>
      <c r="B2503" s="155" t="s">
        <v>26</v>
      </c>
      <c r="C2503" s="156"/>
      <c r="D2503" s="154"/>
      <c r="E2503" s="157"/>
      <c r="F2503" s="158"/>
      <c r="G2503" s="159">
        <f>SUM(G2477:G2502)/2</f>
        <v>786475600</v>
      </c>
      <c r="H2503" s="160"/>
      <c r="IX2503" s="35"/>
      <c r="IY2503" s="35"/>
      <c r="ST2503" s="35"/>
      <c r="SU2503" s="35"/>
      <c r="ACP2503" s="35"/>
      <c r="ACQ2503" s="35"/>
      <c r="AML2503" s="35"/>
      <c r="AMM2503" s="35"/>
      <c r="AWH2503" s="35"/>
      <c r="AWI2503" s="35"/>
      <c r="BGD2503" s="35"/>
      <c r="BGE2503" s="35"/>
      <c r="BPZ2503" s="35"/>
      <c r="BQA2503" s="35"/>
      <c r="BZV2503" s="35"/>
      <c r="BZW2503" s="35"/>
      <c r="CJR2503" s="35"/>
      <c r="CJS2503" s="35"/>
      <c r="CTN2503" s="35"/>
      <c r="CTO2503" s="35"/>
      <c r="DDJ2503" s="35"/>
      <c r="DDK2503" s="35"/>
      <c r="DNF2503" s="35"/>
      <c r="DNG2503" s="35"/>
      <c r="DXB2503" s="35"/>
      <c r="DXC2503" s="35"/>
      <c r="EGX2503" s="35"/>
      <c r="EGY2503" s="35"/>
      <c r="EQT2503" s="35"/>
      <c r="EQU2503" s="35"/>
      <c r="FAP2503" s="35"/>
      <c r="FAQ2503" s="35"/>
      <c r="FKL2503" s="35"/>
      <c r="FKM2503" s="35"/>
      <c r="FUH2503" s="35"/>
      <c r="FUI2503" s="35"/>
      <c r="GED2503" s="35"/>
      <c r="GEE2503" s="35"/>
      <c r="GNZ2503" s="35"/>
      <c r="GOA2503" s="35"/>
      <c r="GXV2503" s="35"/>
      <c r="GXW2503" s="35"/>
      <c r="HHR2503" s="35"/>
      <c r="HHS2503" s="35"/>
      <c r="HRN2503" s="35"/>
      <c r="HRO2503" s="35"/>
      <c r="IBJ2503" s="35"/>
      <c r="IBK2503" s="35"/>
      <c r="ILF2503" s="35"/>
      <c r="ILG2503" s="35"/>
      <c r="IVB2503" s="35"/>
      <c r="IVC2503" s="35"/>
      <c r="JEX2503" s="35"/>
      <c r="JEY2503" s="35"/>
      <c r="JOT2503" s="35"/>
      <c r="JOU2503" s="35"/>
      <c r="JYP2503" s="35"/>
      <c r="JYQ2503" s="35"/>
      <c r="KIL2503" s="35"/>
      <c r="KIM2503" s="35"/>
      <c r="KSH2503" s="35"/>
      <c r="KSI2503" s="35"/>
      <c r="LCD2503" s="35"/>
      <c r="LCE2503" s="35"/>
      <c r="LLZ2503" s="35"/>
      <c r="LMA2503" s="35"/>
      <c r="LVV2503" s="35"/>
      <c r="LVW2503" s="35"/>
      <c r="MFR2503" s="35"/>
      <c r="MFS2503" s="35"/>
      <c r="MPN2503" s="35"/>
      <c r="MPO2503" s="35"/>
      <c r="MZJ2503" s="35"/>
      <c r="MZK2503" s="35"/>
      <c r="NJF2503" s="35"/>
      <c r="NJG2503" s="35"/>
      <c r="NTB2503" s="35"/>
      <c r="NTC2503" s="35"/>
      <c r="OCX2503" s="35"/>
      <c r="OCY2503" s="35"/>
      <c r="OMT2503" s="35"/>
      <c r="OMU2503" s="35"/>
      <c r="OWP2503" s="35"/>
      <c r="OWQ2503" s="35"/>
      <c r="PGL2503" s="35"/>
      <c r="PGM2503" s="35"/>
      <c r="PQH2503" s="35"/>
      <c r="PQI2503" s="35"/>
      <c r="QAD2503" s="35"/>
      <c r="QAE2503" s="35"/>
      <c r="QJZ2503" s="35"/>
      <c r="QKA2503" s="35"/>
      <c r="QTV2503" s="35"/>
      <c r="QTW2503" s="35"/>
      <c r="RDR2503" s="35"/>
      <c r="RDS2503" s="35"/>
      <c r="RNN2503" s="35"/>
      <c r="RNO2503" s="35"/>
      <c r="RXJ2503" s="35"/>
      <c r="RXK2503" s="35"/>
      <c r="SHF2503" s="35"/>
      <c r="SHG2503" s="35"/>
      <c r="SRB2503" s="35"/>
      <c r="SRC2503" s="35"/>
      <c r="TAX2503" s="35"/>
      <c r="TAY2503" s="35"/>
      <c r="TKT2503" s="35"/>
      <c r="TKU2503" s="35"/>
      <c r="TUP2503" s="35"/>
      <c r="TUQ2503" s="35"/>
      <c r="UEL2503" s="35"/>
      <c r="UEM2503" s="35"/>
      <c r="UOH2503" s="35"/>
      <c r="UOI2503" s="35"/>
      <c r="UYD2503" s="35"/>
      <c r="UYE2503" s="35"/>
      <c r="VHZ2503" s="35"/>
      <c r="VIA2503" s="35"/>
      <c r="VRV2503" s="35"/>
      <c r="VRW2503" s="35"/>
      <c r="WBR2503" s="35"/>
      <c r="WBS2503" s="35"/>
      <c r="WLN2503" s="35"/>
      <c r="WLO2503" s="35"/>
      <c r="WVJ2503" s="35"/>
      <c r="WVK2503" s="35"/>
    </row>
    <row r="2504" spans="1:771 1026:1795 2050:2819 3074:3843 4098:4867 5122:5891 6146:6915 7170:7939 8194:8963 9218:9987 10242:11011 11266:12035 12290:13059 13314:14083 14338:15107 15362:16131" ht="55.2" x14ac:dyDescent="0.3">
      <c r="A2504" s="164">
        <v>232</v>
      </c>
      <c r="B2504" s="29" t="s">
        <v>1894</v>
      </c>
      <c r="C2504" s="30" t="s">
        <v>1895</v>
      </c>
      <c r="D2504" s="31" t="s">
        <v>13</v>
      </c>
      <c r="E2504" s="32">
        <v>12</v>
      </c>
      <c r="F2504" s="33"/>
      <c r="G2504" s="33"/>
      <c r="H2504" s="34" t="s">
        <v>1896</v>
      </c>
    </row>
    <row r="2505" spans="1:771 1026:1795 2050:2819 3074:3843 4098:4867 5122:5891 6146:6915 7170:7939 8194:8963 9218:9987 10242:11011 11266:12035 12290:13059 13314:14083 14338:15107 15362:16131" ht="31.2" x14ac:dyDescent="0.3">
      <c r="A2505" s="167"/>
      <c r="B2505" s="37" t="s">
        <v>1897</v>
      </c>
      <c r="C2505" s="38" t="s">
        <v>14</v>
      </c>
      <c r="D2505" s="162"/>
      <c r="E2505" s="44"/>
      <c r="F2505" s="40"/>
      <c r="G2505" s="41">
        <f>SUM(G2506)</f>
        <v>233748000</v>
      </c>
      <c r="H2505" s="42"/>
    </row>
    <row r="2506" spans="1:771 1026:1795 2050:2819 3074:3843 4098:4867 5122:5891 6146:6915 7170:7939 8194:8963 9218:9987 10242:11011 11266:12035 12290:13059 13314:14083 14338:15107 15362:16131" ht="31.2" x14ac:dyDescent="0.3">
      <c r="A2506" s="167"/>
      <c r="B2506" s="37" t="s">
        <v>1898</v>
      </c>
      <c r="C2506" s="48" t="s">
        <v>38</v>
      </c>
      <c r="D2506" s="39" t="s">
        <v>13</v>
      </c>
      <c r="E2506" s="44">
        <v>12</v>
      </c>
      <c r="F2506" s="161">
        <v>19479000</v>
      </c>
      <c r="G2506" s="40">
        <f>E2506*F2506</f>
        <v>233748000</v>
      </c>
      <c r="H2506" s="42"/>
    </row>
    <row r="2507" spans="1:771 1026:1795 2050:2819 3074:3843 4098:4867 5122:5891 6146:6915 7170:7939 8194:8963 9218:9987 10242:11011 11266:12035 12290:13059 13314:14083 14338:15107 15362:16131" ht="18.600000000000001" x14ac:dyDescent="0.3">
      <c r="A2507" s="167"/>
      <c r="B2507" s="37"/>
      <c r="C2507" s="47" t="s">
        <v>35</v>
      </c>
      <c r="D2507" s="39" t="s">
        <v>13</v>
      </c>
      <c r="E2507" s="44"/>
      <c r="F2507" s="40"/>
      <c r="G2507" s="41">
        <f>SUM(G2508:G2510)</f>
        <v>26506900</v>
      </c>
      <c r="H2507" s="45"/>
    </row>
    <row r="2508" spans="1:771 1026:1795 2050:2819 3074:3843 4098:4867 5122:5891 6146:6915 7170:7939 8194:8963 9218:9987 10242:11011 11266:12035 12290:13059 13314:14083 14338:15107 15362:16131" ht="78" x14ac:dyDescent="0.3">
      <c r="A2508" s="167"/>
      <c r="B2508" s="46" t="s">
        <v>1899</v>
      </c>
      <c r="C2508" s="66" t="s">
        <v>2579</v>
      </c>
      <c r="D2508" s="39" t="s">
        <v>13</v>
      </c>
      <c r="E2508" s="44">
        <f>((0.25*0.8)/2)+((1.1+2)*4.5)/2</f>
        <v>7.0750000000000002</v>
      </c>
      <c r="F2508" s="40">
        <v>3592000</v>
      </c>
      <c r="G2508" s="40">
        <f>E2508*F2508</f>
        <v>25413400</v>
      </c>
      <c r="H2508" s="42" t="s">
        <v>2578</v>
      </c>
    </row>
    <row r="2509" spans="1:771 1026:1795 2050:2819 3074:3843 4098:4867 5122:5891 6146:6915 7170:7939 8194:8963 9218:9987 10242:11011 11266:12035 12290:13059 13314:14083 14338:15107 15362:16131" ht="31.2" x14ac:dyDescent="0.3">
      <c r="A2509" s="167"/>
      <c r="B2509" s="50"/>
      <c r="C2509" s="48" t="s">
        <v>1900</v>
      </c>
      <c r="D2509" s="39" t="s">
        <v>13</v>
      </c>
      <c r="E2509" s="44">
        <f>(0.9*4.5)/2</f>
        <v>2.0249999999999999</v>
      </c>
      <c r="F2509" s="40">
        <v>540000</v>
      </c>
      <c r="G2509" s="40">
        <f>E2509*F2509</f>
        <v>1093500</v>
      </c>
      <c r="H2509" s="52" t="s">
        <v>2375</v>
      </c>
    </row>
    <row r="2510" spans="1:771 1026:1795 2050:2819 3074:3843 4098:4867 5122:5891 6146:6915 7170:7939 8194:8963 9218:9987 10242:11011 11266:12035 12290:13059 13314:14083 14338:15107 15362:16131" s="35" customFormat="1" ht="65.400000000000006" thickBot="1" x14ac:dyDescent="0.35">
      <c r="A2510" s="53"/>
      <c r="B2510" s="54"/>
      <c r="C2510" s="55" t="s">
        <v>2331</v>
      </c>
      <c r="D2510" s="56"/>
      <c r="E2510" s="71"/>
      <c r="F2510" s="57"/>
      <c r="G2510" s="57"/>
      <c r="H2510" s="58"/>
    </row>
    <row r="2511" spans="1:771 1026:1795 2050:2819 3074:3843 4098:4867 5122:5891 6146:6915 7170:7939 8194:8963 9218:9987 10242:11011 11266:12035 12290:13059 13314:14083 14338:15107 15362:16131" s="177" customFormat="1" ht="31.8" thickBot="1" x14ac:dyDescent="0.35">
      <c r="A2511" s="174"/>
      <c r="B2511" s="155" t="s">
        <v>26</v>
      </c>
      <c r="C2511" s="156"/>
      <c r="D2511" s="154"/>
      <c r="E2511" s="157"/>
      <c r="F2511" s="158"/>
      <c r="G2511" s="159">
        <f>SUM(G2504:G2510)/2</f>
        <v>260254900</v>
      </c>
      <c r="H2511" s="160"/>
      <c r="IX2511" s="173"/>
      <c r="IY2511" s="173"/>
      <c r="ST2511" s="173"/>
      <c r="SU2511" s="173"/>
      <c r="ACP2511" s="173"/>
      <c r="ACQ2511" s="173"/>
      <c r="AML2511" s="173"/>
      <c r="AMM2511" s="173"/>
      <c r="AWH2511" s="173"/>
      <c r="AWI2511" s="173"/>
      <c r="BGD2511" s="173"/>
      <c r="BGE2511" s="173"/>
      <c r="BPZ2511" s="173"/>
      <c r="BQA2511" s="173"/>
      <c r="BZV2511" s="173"/>
      <c r="BZW2511" s="173"/>
      <c r="CJR2511" s="173"/>
      <c r="CJS2511" s="173"/>
      <c r="CTN2511" s="173"/>
      <c r="CTO2511" s="173"/>
      <c r="DDJ2511" s="173"/>
      <c r="DDK2511" s="173"/>
      <c r="DNF2511" s="173"/>
      <c r="DNG2511" s="173"/>
      <c r="DXB2511" s="173"/>
      <c r="DXC2511" s="173"/>
      <c r="EGX2511" s="173"/>
      <c r="EGY2511" s="173"/>
      <c r="EQT2511" s="173"/>
      <c r="EQU2511" s="173"/>
      <c r="FAP2511" s="173"/>
      <c r="FAQ2511" s="173"/>
      <c r="FKL2511" s="173"/>
      <c r="FKM2511" s="173"/>
      <c r="FUH2511" s="173"/>
      <c r="FUI2511" s="173"/>
      <c r="GED2511" s="173"/>
      <c r="GEE2511" s="173"/>
      <c r="GNZ2511" s="173"/>
      <c r="GOA2511" s="173"/>
      <c r="GXV2511" s="173"/>
      <c r="GXW2511" s="173"/>
      <c r="HHR2511" s="173"/>
      <c r="HHS2511" s="173"/>
      <c r="HRN2511" s="173"/>
      <c r="HRO2511" s="173"/>
      <c r="IBJ2511" s="173"/>
      <c r="IBK2511" s="173"/>
      <c r="ILF2511" s="173"/>
      <c r="ILG2511" s="173"/>
      <c r="IVB2511" s="173"/>
      <c r="IVC2511" s="173"/>
      <c r="JEX2511" s="173"/>
      <c r="JEY2511" s="173"/>
      <c r="JOT2511" s="173"/>
      <c r="JOU2511" s="173"/>
      <c r="JYP2511" s="173"/>
      <c r="JYQ2511" s="173"/>
      <c r="KIL2511" s="173"/>
      <c r="KIM2511" s="173"/>
      <c r="KSH2511" s="173"/>
      <c r="KSI2511" s="173"/>
      <c r="LCD2511" s="173"/>
      <c r="LCE2511" s="173"/>
      <c r="LLZ2511" s="173"/>
      <c r="LMA2511" s="173"/>
      <c r="LVV2511" s="173"/>
      <c r="LVW2511" s="173"/>
      <c r="MFR2511" s="173"/>
      <c r="MFS2511" s="173"/>
      <c r="MPN2511" s="173"/>
      <c r="MPO2511" s="173"/>
      <c r="MZJ2511" s="173"/>
      <c r="MZK2511" s="173"/>
      <c r="NJF2511" s="173"/>
      <c r="NJG2511" s="173"/>
      <c r="NTB2511" s="173"/>
      <c r="NTC2511" s="173"/>
      <c r="OCX2511" s="173"/>
      <c r="OCY2511" s="173"/>
      <c r="OMT2511" s="173"/>
      <c r="OMU2511" s="173"/>
      <c r="OWP2511" s="173"/>
      <c r="OWQ2511" s="173"/>
      <c r="PGL2511" s="173"/>
      <c r="PGM2511" s="173"/>
      <c r="PQH2511" s="173"/>
      <c r="PQI2511" s="173"/>
      <c r="QAD2511" s="173"/>
      <c r="QAE2511" s="173"/>
      <c r="QJZ2511" s="173"/>
      <c r="QKA2511" s="173"/>
      <c r="QTV2511" s="173"/>
      <c r="QTW2511" s="173"/>
      <c r="RDR2511" s="173"/>
      <c r="RDS2511" s="173"/>
      <c r="RNN2511" s="173"/>
      <c r="RNO2511" s="173"/>
      <c r="RXJ2511" s="173"/>
      <c r="RXK2511" s="173"/>
      <c r="SHF2511" s="173"/>
      <c r="SHG2511" s="173"/>
      <c r="SRB2511" s="173"/>
      <c r="SRC2511" s="173"/>
      <c r="TAX2511" s="173"/>
      <c r="TAY2511" s="173"/>
      <c r="TKT2511" s="173"/>
      <c r="TKU2511" s="173"/>
      <c r="TUP2511" s="173"/>
      <c r="TUQ2511" s="173"/>
      <c r="UEL2511" s="173"/>
      <c r="UEM2511" s="173"/>
      <c r="UOH2511" s="173"/>
      <c r="UOI2511" s="173"/>
      <c r="UYD2511" s="173"/>
      <c r="UYE2511" s="173"/>
      <c r="VHZ2511" s="173"/>
      <c r="VIA2511" s="173"/>
      <c r="VRV2511" s="173"/>
      <c r="VRW2511" s="173"/>
      <c r="WBR2511" s="173"/>
      <c r="WBS2511" s="173"/>
      <c r="WLN2511" s="173"/>
      <c r="WLO2511" s="173"/>
      <c r="WVJ2511" s="173"/>
      <c r="WVK2511" s="173"/>
    </row>
    <row r="2512" spans="1:771 1026:1795 2050:2819 3074:3843 4098:4867 5122:5891 6146:6915 7170:7939 8194:8963 9218:9987 10242:11011 11266:12035 12290:13059 13314:14083 14338:15107 15362:16131" ht="69" x14ac:dyDescent="0.3">
      <c r="A2512" s="164">
        <v>233</v>
      </c>
      <c r="B2512" s="29" t="s">
        <v>1901</v>
      </c>
      <c r="C2512" s="30" t="s">
        <v>2617</v>
      </c>
      <c r="D2512" s="31" t="s">
        <v>13</v>
      </c>
      <c r="E2512" s="32">
        <v>9</v>
      </c>
      <c r="F2512" s="33"/>
      <c r="G2512" s="33"/>
      <c r="H2512" s="34" t="s">
        <v>1902</v>
      </c>
    </row>
    <row r="2513" spans="1:771 1026:1795 2050:2819 3074:3843 4098:4867 5122:5891 6146:6915 7170:7939 8194:8963 9218:9987 10242:11011 11266:12035 12290:13059 13314:14083 14338:15107 15362:16131" x14ac:dyDescent="0.3">
      <c r="A2513" s="167"/>
      <c r="B2513" s="37" t="s">
        <v>1325</v>
      </c>
      <c r="C2513" s="38" t="s">
        <v>14</v>
      </c>
      <c r="D2513" s="162"/>
      <c r="E2513" s="44"/>
      <c r="F2513" s="40"/>
      <c r="G2513" s="41">
        <f>SUM(G2514)</f>
        <v>93636000</v>
      </c>
      <c r="H2513" s="42"/>
    </row>
    <row r="2514" spans="1:771 1026:1795 2050:2819 3074:3843 4098:4867 5122:5891 6146:6915 7170:7939 8194:8963 9218:9987 10242:11011 11266:12035 12290:13059 13314:14083 14338:15107 15362:16131" ht="31.2" x14ac:dyDescent="0.3">
      <c r="A2514" s="167"/>
      <c r="B2514" s="37" t="s">
        <v>326</v>
      </c>
      <c r="C2514" s="48" t="s">
        <v>55</v>
      </c>
      <c r="D2514" s="39" t="s">
        <v>13</v>
      </c>
      <c r="E2514" s="44">
        <v>9</v>
      </c>
      <c r="F2514" s="153">
        <v>10404000</v>
      </c>
      <c r="G2514" s="40">
        <f>E2514*F2514</f>
        <v>93636000</v>
      </c>
      <c r="H2514" s="42"/>
    </row>
    <row r="2515" spans="1:771 1026:1795 2050:2819 3074:3843 4098:4867 5122:5891 6146:6915 7170:7939 8194:8963 9218:9987 10242:11011 11266:12035 12290:13059 13314:14083 14338:15107 15362:16131" ht="78" x14ac:dyDescent="0.3">
      <c r="A2515" s="167"/>
      <c r="B2515" s="46" t="s">
        <v>1903</v>
      </c>
      <c r="C2515" s="47" t="s">
        <v>35</v>
      </c>
      <c r="D2515" s="39" t="s">
        <v>13</v>
      </c>
      <c r="E2515" s="44"/>
      <c r="F2515" s="40"/>
      <c r="G2515" s="41">
        <f>SUM(G2516:G2518)</f>
        <v>4825650</v>
      </c>
      <c r="H2515" s="45"/>
    </row>
    <row r="2516" spans="1:771 1026:1795 2050:2819 3074:3843 4098:4867 5122:5891 6146:6915 7170:7939 8194:8963 9218:9987 10242:11011 11266:12035 12290:13059 13314:14083 14338:15107 15362:16131" ht="46.8" x14ac:dyDescent="0.3">
      <c r="A2516" s="167"/>
      <c r="B2516" s="46"/>
      <c r="C2516" s="66" t="s">
        <v>1904</v>
      </c>
      <c r="D2516" s="39" t="s">
        <v>13</v>
      </c>
      <c r="E2516" s="44">
        <f>((1.3+2)*7)/2</f>
        <v>11.549999999999999</v>
      </c>
      <c r="F2516" s="40">
        <f>540000*40%</f>
        <v>216000</v>
      </c>
      <c r="G2516" s="40">
        <f>E2516*F2516</f>
        <v>2494800</v>
      </c>
      <c r="H2516" s="42" t="s">
        <v>2580</v>
      </c>
    </row>
    <row r="2517" spans="1:771 1026:1795 2050:2819 3074:3843 4098:4867 5122:5891 6146:6915 7170:7939 8194:8963 9218:9987 10242:11011 11266:12035 12290:13059 13314:14083 14338:15107 15362:16131" ht="18.600000000000001" x14ac:dyDescent="0.3">
      <c r="A2517" s="167"/>
      <c r="B2517" s="46"/>
      <c r="C2517" s="66" t="s">
        <v>189</v>
      </c>
      <c r="D2517" s="39" t="s">
        <v>1893</v>
      </c>
      <c r="E2517" s="44">
        <f>1.9*3*0.1</f>
        <v>0.56999999999999995</v>
      </c>
      <c r="F2517" s="40">
        <v>1421000</v>
      </c>
      <c r="G2517" s="40">
        <f>E2517*F2517</f>
        <v>809969.99999999988</v>
      </c>
      <c r="H2517" s="52"/>
    </row>
    <row r="2518" spans="1:771 1026:1795 2050:2819 3074:3843 4098:4867 5122:5891 6146:6915 7170:7939 8194:8963 9218:9987 10242:11011 11266:12035 12290:13059 13314:14083 14338:15107 15362:16131" ht="18.600000000000001" x14ac:dyDescent="0.3">
      <c r="A2518" s="167"/>
      <c r="B2518" s="46"/>
      <c r="C2518" s="66" t="s">
        <v>1905</v>
      </c>
      <c r="D2518" s="39" t="s">
        <v>128</v>
      </c>
      <c r="E2518" s="44">
        <f>0.4*0.4*1.5</f>
        <v>0.24000000000000005</v>
      </c>
      <c r="F2518" s="40">
        <v>6337000</v>
      </c>
      <c r="G2518" s="40">
        <f>E2518*F2518</f>
        <v>1520880.0000000002</v>
      </c>
      <c r="H2518" s="52"/>
    </row>
    <row r="2519" spans="1:771 1026:1795 2050:2819 3074:3843 4098:4867 5122:5891 6146:6915 7170:7939 8194:8963 9218:9987 10242:11011 11266:12035 12290:13059 13314:14083 14338:15107 15362:16131" s="35" customFormat="1" x14ac:dyDescent="0.3">
      <c r="A2519" s="36"/>
      <c r="B2519" s="50"/>
      <c r="C2519" s="51" t="s">
        <v>23</v>
      </c>
      <c r="D2519" s="39"/>
      <c r="E2519" s="1"/>
      <c r="F2519" s="2"/>
      <c r="G2519" s="41">
        <f>SUM(G2520)</f>
        <v>3060000</v>
      </c>
      <c r="H2519" s="52"/>
    </row>
    <row r="2520" spans="1:771 1026:1795 2050:2819 3074:3843 4098:4867 5122:5891 6146:6915 7170:7939 8194:8963 9218:9987 10242:11011 11266:12035 12290:13059 13314:14083 14338:15107 15362:16131" s="35" customFormat="1" x14ac:dyDescent="0.3">
      <c r="A2520" s="36"/>
      <c r="B2520" s="46"/>
      <c r="C2520" s="50" t="s">
        <v>24</v>
      </c>
      <c r="D2520" s="39" t="s">
        <v>25</v>
      </c>
      <c r="E2520" s="1">
        <f>1*30*6</f>
        <v>180</v>
      </c>
      <c r="F2520" s="2">
        <v>17000</v>
      </c>
      <c r="G2520" s="40">
        <f>E2520*F2520</f>
        <v>3060000</v>
      </c>
      <c r="H2520" s="42"/>
    </row>
    <row r="2521" spans="1:771 1026:1795 2050:2819 3074:3843 4098:4867 5122:5891 6146:6915 7170:7939 8194:8963 9218:9987 10242:11011 11266:12035 12290:13059 13314:14083 14338:15107 15362:16131" s="35" customFormat="1" ht="65.400000000000006" thickBot="1" x14ac:dyDescent="0.35">
      <c r="A2521" s="53"/>
      <c r="B2521" s="54"/>
      <c r="C2521" s="55" t="s">
        <v>2331</v>
      </c>
      <c r="D2521" s="56"/>
      <c r="E2521" s="5"/>
      <c r="F2521" s="6"/>
      <c r="G2521" s="57"/>
      <c r="H2521" s="58"/>
    </row>
    <row r="2522" spans="1:771 1026:1795 2050:2819 3074:3843 4098:4867 5122:5891 6146:6915 7170:7939 8194:8963 9218:9987 10242:11011 11266:12035 12290:13059 13314:14083 14338:15107 15362:16131" s="177" customFormat="1" ht="31.8" thickBot="1" x14ac:dyDescent="0.35">
      <c r="A2522" s="174"/>
      <c r="B2522" s="155" t="s">
        <v>26</v>
      </c>
      <c r="C2522" s="156"/>
      <c r="D2522" s="154"/>
      <c r="E2522" s="157"/>
      <c r="F2522" s="158"/>
      <c r="G2522" s="159">
        <f>SUM(G2512:G2521)/2</f>
        <v>101521650</v>
      </c>
      <c r="H2522" s="160"/>
      <c r="IX2522" s="173"/>
      <c r="IY2522" s="173"/>
      <c r="ST2522" s="173"/>
      <c r="SU2522" s="173"/>
      <c r="ACP2522" s="173"/>
      <c r="ACQ2522" s="173"/>
      <c r="AML2522" s="173"/>
      <c r="AMM2522" s="173"/>
      <c r="AWH2522" s="173"/>
      <c r="AWI2522" s="173"/>
      <c r="BGD2522" s="173"/>
      <c r="BGE2522" s="173"/>
      <c r="BPZ2522" s="173"/>
      <c r="BQA2522" s="173"/>
      <c r="BZV2522" s="173"/>
      <c r="BZW2522" s="173"/>
      <c r="CJR2522" s="173"/>
      <c r="CJS2522" s="173"/>
      <c r="CTN2522" s="173"/>
      <c r="CTO2522" s="173"/>
      <c r="DDJ2522" s="173"/>
      <c r="DDK2522" s="173"/>
      <c r="DNF2522" s="173"/>
      <c r="DNG2522" s="173"/>
      <c r="DXB2522" s="173"/>
      <c r="DXC2522" s="173"/>
      <c r="EGX2522" s="173"/>
      <c r="EGY2522" s="173"/>
      <c r="EQT2522" s="173"/>
      <c r="EQU2522" s="173"/>
      <c r="FAP2522" s="173"/>
      <c r="FAQ2522" s="173"/>
      <c r="FKL2522" s="173"/>
      <c r="FKM2522" s="173"/>
      <c r="FUH2522" s="173"/>
      <c r="FUI2522" s="173"/>
      <c r="GED2522" s="173"/>
      <c r="GEE2522" s="173"/>
      <c r="GNZ2522" s="173"/>
      <c r="GOA2522" s="173"/>
      <c r="GXV2522" s="173"/>
      <c r="GXW2522" s="173"/>
      <c r="HHR2522" s="173"/>
      <c r="HHS2522" s="173"/>
      <c r="HRN2522" s="173"/>
      <c r="HRO2522" s="173"/>
      <c r="IBJ2522" s="173"/>
      <c r="IBK2522" s="173"/>
      <c r="ILF2522" s="173"/>
      <c r="ILG2522" s="173"/>
      <c r="IVB2522" s="173"/>
      <c r="IVC2522" s="173"/>
      <c r="JEX2522" s="173"/>
      <c r="JEY2522" s="173"/>
      <c r="JOT2522" s="173"/>
      <c r="JOU2522" s="173"/>
      <c r="JYP2522" s="173"/>
      <c r="JYQ2522" s="173"/>
      <c r="KIL2522" s="173"/>
      <c r="KIM2522" s="173"/>
      <c r="KSH2522" s="173"/>
      <c r="KSI2522" s="173"/>
      <c r="LCD2522" s="173"/>
      <c r="LCE2522" s="173"/>
      <c r="LLZ2522" s="173"/>
      <c r="LMA2522" s="173"/>
      <c r="LVV2522" s="173"/>
      <c r="LVW2522" s="173"/>
      <c r="MFR2522" s="173"/>
      <c r="MFS2522" s="173"/>
      <c r="MPN2522" s="173"/>
      <c r="MPO2522" s="173"/>
      <c r="MZJ2522" s="173"/>
      <c r="MZK2522" s="173"/>
      <c r="NJF2522" s="173"/>
      <c r="NJG2522" s="173"/>
      <c r="NTB2522" s="173"/>
      <c r="NTC2522" s="173"/>
      <c r="OCX2522" s="173"/>
      <c r="OCY2522" s="173"/>
      <c r="OMT2522" s="173"/>
      <c r="OMU2522" s="173"/>
      <c r="OWP2522" s="173"/>
      <c r="OWQ2522" s="173"/>
      <c r="PGL2522" s="173"/>
      <c r="PGM2522" s="173"/>
      <c r="PQH2522" s="173"/>
      <c r="PQI2522" s="173"/>
      <c r="QAD2522" s="173"/>
      <c r="QAE2522" s="173"/>
      <c r="QJZ2522" s="173"/>
      <c r="QKA2522" s="173"/>
      <c r="QTV2522" s="173"/>
      <c r="QTW2522" s="173"/>
      <c r="RDR2522" s="173"/>
      <c r="RDS2522" s="173"/>
      <c r="RNN2522" s="173"/>
      <c r="RNO2522" s="173"/>
      <c r="RXJ2522" s="173"/>
      <c r="RXK2522" s="173"/>
      <c r="SHF2522" s="173"/>
      <c r="SHG2522" s="173"/>
      <c r="SRB2522" s="173"/>
      <c r="SRC2522" s="173"/>
      <c r="TAX2522" s="173"/>
      <c r="TAY2522" s="173"/>
      <c r="TKT2522" s="173"/>
      <c r="TKU2522" s="173"/>
      <c r="TUP2522" s="173"/>
      <c r="TUQ2522" s="173"/>
      <c r="UEL2522" s="173"/>
      <c r="UEM2522" s="173"/>
      <c r="UOH2522" s="173"/>
      <c r="UOI2522" s="173"/>
      <c r="UYD2522" s="173"/>
      <c r="UYE2522" s="173"/>
      <c r="VHZ2522" s="173"/>
      <c r="VIA2522" s="173"/>
      <c r="VRV2522" s="173"/>
      <c r="VRW2522" s="173"/>
      <c r="WBR2522" s="173"/>
      <c r="WBS2522" s="173"/>
      <c r="WLN2522" s="173"/>
      <c r="WLO2522" s="173"/>
      <c r="WVJ2522" s="173"/>
      <c r="WVK2522" s="173"/>
    </row>
    <row r="2523" spans="1:771 1026:1795 2050:2819 3074:3843 4098:4867 5122:5891 6146:6915 7170:7939 8194:8963 9218:9987 10242:11011 11266:12035 12290:13059 13314:14083 14338:15107 15362:16131" ht="55.2" x14ac:dyDescent="0.3">
      <c r="A2523" s="164">
        <v>234</v>
      </c>
      <c r="B2523" s="29" t="s">
        <v>1906</v>
      </c>
      <c r="C2523" s="30" t="s">
        <v>2618</v>
      </c>
      <c r="D2523" s="31" t="s">
        <v>13</v>
      </c>
      <c r="E2523" s="32">
        <v>8.5</v>
      </c>
      <c r="F2523" s="33"/>
      <c r="G2523" s="33"/>
      <c r="H2523" s="34" t="s">
        <v>1907</v>
      </c>
    </row>
    <row r="2524" spans="1:771 1026:1795 2050:2819 3074:3843 4098:4867 5122:5891 6146:6915 7170:7939 8194:8963 9218:9987 10242:11011 11266:12035 12290:13059 13314:14083 14338:15107 15362:16131" ht="31.2" x14ac:dyDescent="0.3">
      <c r="A2524" s="167"/>
      <c r="B2524" s="37" t="s">
        <v>1908</v>
      </c>
      <c r="C2524" s="38" t="s">
        <v>14</v>
      </c>
      <c r="D2524" s="162"/>
      <c r="E2524" s="44"/>
      <c r="F2524" s="40"/>
      <c r="G2524" s="41">
        <f>SUM(G2525)</f>
        <v>88434000</v>
      </c>
      <c r="H2524" s="42"/>
    </row>
    <row r="2525" spans="1:771 1026:1795 2050:2819 3074:3843 4098:4867 5122:5891 6146:6915 7170:7939 8194:8963 9218:9987 10242:11011 11266:12035 12290:13059 13314:14083 14338:15107 15362:16131" ht="78" x14ac:dyDescent="0.3">
      <c r="A2525" s="167"/>
      <c r="B2525" s="46" t="s">
        <v>1903</v>
      </c>
      <c r="C2525" s="43" t="s">
        <v>55</v>
      </c>
      <c r="D2525" s="39" t="s">
        <v>13</v>
      </c>
      <c r="E2525" s="44">
        <v>8.5</v>
      </c>
      <c r="F2525" s="153">
        <v>10404000</v>
      </c>
      <c r="G2525" s="40">
        <f>E2525*F2525</f>
        <v>88434000</v>
      </c>
      <c r="H2525" s="42"/>
    </row>
    <row r="2526" spans="1:771 1026:1795 2050:2819 3074:3843 4098:4867 5122:5891 6146:6915 7170:7939 8194:8963 9218:9987 10242:11011 11266:12035 12290:13059 13314:14083 14338:15107 15362:16131" s="35" customFormat="1" x14ac:dyDescent="0.3">
      <c r="A2526" s="36"/>
      <c r="B2526" s="50"/>
      <c r="C2526" s="51" t="s">
        <v>23</v>
      </c>
      <c r="D2526" s="39"/>
      <c r="E2526" s="1"/>
      <c r="F2526" s="2"/>
      <c r="G2526" s="41">
        <f>SUM(G2527)</f>
        <v>6120000</v>
      </c>
      <c r="H2526" s="52"/>
    </row>
    <row r="2527" spans="1:771 1026:1795 2050:2819 3074:3843 4098:4867 5122:5891 6146:6915 7170:7939 8194:8963 9218:9987 10242:11011 11266:12035 12290:13059 13314:14083 14338:15107 15362:16131" s="35" customFormat="1" x14ac:dyDescent="0.3">
      <c r="A2527" s="36"/>
      <c r="B2527" s="46"/>
      <c r="C2527" s="50" t="s">
        <v>24</v>
      </c>
      <c r="D2527" s="39" t="s">
        <v>25</v>
      </c>
      <c r="E2527" s="1">
        <f>2*30*6</f>
        <v>360</v>
      </c>
      <c r="F2527" s="2">
        <v>17000</v>
      </c>
      <c r="G2527" s="40">
        <f>E2527*F2527</f>
        <v>6120000</v>
      </c>
      <c r="H2527" s="42"/>
    </row>
    <row r="2528" spans="1:771 1026:1795 2050:2819 3074:3843 4098:4867 5122:5891 6146:6915 7170:7939 8194:8963 9218:9987 10242:11011 11266:12035 12290:13059 13314:14083 14338:15107 15362:16131" s="35" customFormat="1" ht="65.400000000000006" thickBot="1" x14ac:dyDescent="0.35">
      <c r="A2528" s="53"/>
      <c r="B2528" s="54"/>
      <c r="C2528" s="55" t="s">
        <v>2331</v>
      </c>
      <c r="D2528" s="56"/>
      <c r="E2528" s="5"/>
      <c r="F2528" s="6"/>
      <c r="G2528" s="57"/>
      <c r="H2528" s="58"/>
    </row>
    <row r="2529" spans="1:771 1026:1795 2050:2819 3074:3843 4098:4867 5122:5891 6146:6915 7170:7939 8194:8963 9218:9987 10242:11011 11266:12035 12290:13059 13314:14083 14338:15107 15362:16131" s="177" customFormat="1" ht="31.8" thickBot="1" x14ac:dyDescent="0.35">
      <c r="A2529" s="174"/>
      <c r="B2529" s="155" t="s">
        <v>26</v>
      </c>
      <c r="C2529" s="175"/>
      <c r="D2529" s="23"/>
      <c r="E2529" s="176"/>
      <c r="F2529" s="159"/>
      <c r="G2529" s="159">
        <f>SUM(G2523:G2528)/2</f>
        <v>94554000</v>
      </c>
      <c r="H2529" s="160"/>
      <c r="IX2529" s="173"/>
      <c r="IY2529" s="173"/>
      <c r="ST2529" s="173"/>
      <c r="SU2529" s="173"/>
      <c r="ACP2529" s="173"/>
      <c r="ACQ2529" s="173"/>
      <c r="AML2529" s="173"/>
      <c r="AMM2529" s="173"/>
      <c r="AWH2529" s="173"/>
      <c r="AWI2529" s="173"/>
      <c r="BGD2529" s="173"/>
      <c r="BGE2529" s="173"/>
      <c r="BPZ2529" s="173"/>
      <c r="BQA2529" s="173"/>
      <c r="BZV2529" s="173"/>
      <c r="BZW2529" s="173"/>
      <c r="CJR2529" s="173"/>
      <c r="CJS2529" s="173"/>
      <c r="CTN2529" s="173"/>
      <c r="CTO2529" s="173"/>
      <c r="DDJ2529" s="173"/>
      <c r="DDK2529" s="173"/>
      <c r="DNF2529" s="173"/>
      <c r="DNG2529" s="173"/>
      <c r="DXB2529" s="173"/>
      <c r="DXC2529" s="173"/>
      <c r="EGX2529" s="173"/>
      <c r="EGY2529" s="173"/>
      <c r="EQT2529" s="173"/>
      <c r="EQU2529" s="173"/>
      <c r="FAP2529" s="173"/>
      <c r="FAQ2529" s="173"/>
      <c r="FKL2529" s="173"/>
      <c r="FKM2529" s="173"/>
      <c r="FUH2529" s="173"/>
      <c r="FUI2529" s="173"/>
      <c r="GED2529" s="173"/>
      <c r="GEE2529" s="173"/>
      <c r="GNZ2529" s="173"/>
      <c r="GOA2529" s="173"/>
      <c r="GXV2529" s="173"/>
      <c r="GXW2529" s="173"/>
      <c r="HHR2529" s="173"/>
      <c r="HHS2529" s="173"/>
      <c r="HRN2529" s="173"/>
      <c r="HRO2529" s="173"/>
      <c r="IBJ2529" s="173"/>
      <c r="IBK2529" s="173"/>
      <c r="ILF2529" s="173"/>
      <c r="ILG2529" s="173"/>
      <c r="IVB2529" s="173"/>
      <c r="IVC2529" s="173"/>
      <c r="JEX2529" s="173"/>
      <c r="JEY2529" s="173"/>
      <c r="JOT2529" s="173"/>
      <c r="JOU2529" s="173"/>
      <c r="JYP2529" s="173"/>
      <c r="JYQ2529" s="173"/>
      <c r="KIL2529" s="173"/>
      <c r="KIM2529" s="173"/>
      <c r="KSH2529" s="173"/>
      <c r="KSI2529" s="173"/>
      <c r="LCD2529" s="173"/>
      <c r="LCE2529" s="173"/>
      <c r="LLZ2529" s="173"/>
      <c r="LMA2529" s="173"/>
      <c r="LVV2529" s="173"/>
      <c r="LVW2529" s="173"/>
      <c r="MFR2529" s="173"/>
      <c r="MFS2529" s="173"/>
      <c r="MPN2529" s="173"/>
      <c r="MPO2529" s="173"/>
      <c r="MZJ2529" s="173"/>
      <c r="MZK2529" s="173"/>
      <c r="NJF2529" s="173"/>
      <c r="NJG2529" s="173"/>
      <c r="NTB2529" s="173"/>
      <c r="NTC2529" s="173"/>
      <c r="OCX2529" s="173"/>
      <c r="OCY2529" s="173"/>
      <c r="OMT2529" s="173"/>
      <c r="OMU2529" s="173"/>
      <c r="OWP2529" s="173"/>
      <c r="OWQ2529" s="173"/>
      <c r="PGL2529" s="173"/>
      <c r="PGM2529" s="173"/>
      <c r="PQH2529" s="173"/>
      <c r="PQI2529" s="173"/>
      <c r="QAD2529" s="173"/>
      <c r="QAE2529" s="173"/>
      <c r="QJZ2529" s="173"/>
      <c r="QKA2529" s="173"/>
      <c r="QTV2529" s="173"/>
      <c r="QTW2529" s="173"/>
      <c r="RDR2529" s="173"/>
      <c r="RDS2529" s="173"/>
      <c r="RNN2529" s="173"/>
      <c r="RNO2529" s="173"/>
      <c r="RXJ2529" s="173"/>
      <c r="RXK2529" s="173"/>
      <c r="SHF2529" s="173"/>
      <c r="SHG2529" s="173"/>
      <c r="SRB2529" s="173"/>
      <c r="SRC2529" s="173"/>
      <c r="TAX2529" s="173"/>
      <c r="TAY2529" s="173"/>
      <c r="TKT2529" s="173"/>
      <c r="TKU2529" s="173"/>
      <c r="TUP2529" s="173"/>
      <c r="TUQ2529" s="173"/>
      <c r="UEL2529" s="173"/>
      <c r="UEM2529" s="173"/>
      <c r="UOH2529" s="173"/>
      <c r="UOI2529" s="173"/>
      <c r="UYD2529" s="173"/>
      <c r="UYE2529" s="173"/>
      <c r="VHZ2529" s="173"/>
      <c r="VIA2529" s="173"/>
      <c r="VRV2529" s="173"/>
      <c r="VRW2529" s="173"/>
      <c r="WBR2529" s="173"/>
      <c r="WBS2529" s="173"/>
      <c r="WLN2529" s="173"/>
      <c r="WLO2529" s="173"/>
      <c r="WVJ2529" s="173"/>
      <c r="WVK2529" s="173"/>
    </row>
    <row r="2530" spans="1:771 1026:1795 2050:2819 3074:3843 4098:4867 5122:5891 6146:6915 7170:7939 8194:8963 9218:9987 10242:11011 11266:12035 12290:13059 13314:14083 14338:15107 15362:16131" ht="31.2" x14ac:dyDescent="0.3">
      <c r="A2530" s="88">
        <v>235</v>
      </c>
      <c r="B2530" s="61" t="s">
        <v>2221</v>
      </c>
      <c r="C2530" s="30" t="s">
        <v>2222</v>
      </c>
      <c r="D2530" s="89" t="s">
        <v>891</v>
      </c>
      <c r="E2530" s="120">
        <v>8</v>
      </c>
      <c r="F2530" s="90"/>
      <c r="G2530" s="33"/>
      <c r="H2530" s="34" t="s">
        <v>2223</v>
      </c>
    </row>
    <row r="2531" spans="1:771 1026:1795 2050:2819 3074:3843 4098:4867 5122:5891 6146:6915 7170:7939 8194:8963 9218:9987 10242:11011 11266:12035 12290:13059 13314:14083 14338:15107 15362:16131" x14ac:dyDescent="0.3">
      <c r="A2531" s="115"/>
      <c r="B2531" s="38"/>
      <c r="C2531" s="38" t="s">
        <v>14</v>
      </c>
      <c r="D2531" s="92"/>
      <c r="E2531" s="121"/>
      <c r="F2531" s="117"/>
      <c r="G2531" s="41">
        <f>SUM(G2532)</f>
        <v>155832000</v>
      </c>
      <c r="H2531" s="42"/>
    </row>
    <row r="2532" spans="1:771 1026:1795 2050:2819 3074:3843 4098:4867 5122:5891 6146:6915 7170:7939 8194:8963 9218:9987 10242:11011 11266:12035 12290:13059 13314:14083 14338:15107 15362:16131" x14ac:dyDescent="0.3">
      <c r="A2532" s="115"/>
      <c r="B2532" s="38"/>
      <c r="C2532" s="48" t="s">
        <v>38</v>
      </c>
      <c r="D2532" s="96" t="s">
        <v>891</v>
      </c>
      <c r="E2532" s="121">
        <v>8</v>
      </c>
      <c r="F2532" s="161">
        <v>19479000</v>
      </c>
      <c r="G2532" s="40">
        <f>E2532*F2532</f>
        <v>155832000</v>
      </c>
      <c r="H2532" s="42"/>
    </row>
    <row r="2533" spans="1:771 1026:1795 2050:2819 3074:3843 4098:4867 5122:5891 6146:6915 7170:7939 8194:8963 9218:9987 10242:11011 11266:12035 12290:13059 13314:14083 14338:15107 15362:16131" x14ac:dyDescent="0.3">
      <c r="A2533" s="91"/>
      <c r="B2533" s="37" t="s">
        <v>87</v>
      </c>
      <c r="C2533" s="47" t="s">
        <v>35</v>
      </c>
      <c r="D2533" s="92"/>
      <c r="E2533" s="93"/>
      <c r="F2533" s="94"/>
      <c r="G2533" s="41">
        <f>SUM(G2534)</f>
        <v>28592320</v>
      </c>
      <c r="H2533" s="93"/>
    </row>
    <row r="2534" spans="1:771 1026:1795 2050:2819 3074:3843 4098:4867 5122:5891 6146:6915 7170:7939 8194:8963 9218:9987 10242:11011 11266:12035 12290:13059 13314:14083 14338:15107 15362:16131" ht="94.2" thickBot="1" x14ac:dyDescent="0.35">
      <c r="A2534" s="122"/>
      <c r="B2534" s="54" t="s">
        <v>2227</v>
      </c>
      <c r="C2534" s="123" t="s">
        <v>2224</v>
      </c>
      <c r="D2534" s="124" t="s">
        <v>891</v>
      </c>
      <c r="E2534" s="125">
        <f>4*1.99</f>
        <v>7.96</v>
      </c>
      <c r="F2534" s="126">
        <v>3592000</v>
      </c>
      <c r="G2534" s="57">
        <f>E2534*F2534</f>
        <v>28592320</v>
      </c>
      <c r="H2534" s="127" t="s">
        <v>2582</v>
      </c>
    </row>
    <row r="2535" spans="1:771 1026:1795 2050:2819 3074:3843 4098:4867 5122:5891 6146:6915 7170:7939 8194:8963 9218:9987 10242:11011 11266:12035 12290:13059 13314:14083 14338:15107 15362:16131" s="177" customFormat="1" ht="31.8" thickBot="1" x14ac:dyDescent="0.35">
      <c r="A2535" s="154"/>
      <c r="B2535" s="155" t="s">
        <v>26</v>
      </c>
      <c r="C2535" s="156"/>
      <c r="D2535" s="154"/>
      <c r="E2535" s="157"/>
      <c r="F2535" s="158"/>
      <c r="G2535" s="159">
        <f>SUM(G2530:G2534)/2</f>
        <v>184424320</v>
      </c>
      <c r="H2535" s="160"/>
      <c r="IX2535" s="173"/>
      <c r="IY2535" s="173"/>
      <c r="ST2535" s="173"/>
      <c r="SU2535" s="173"/>
      <c r="ACP2535" s="173"/>
      <c r="ACQ2535" s="173"/>
      <c r="AML2535" s="173"/>
      <c r="AMM2535" s="173"/>
      <c r="AWH2535" s="173"/>
      <c r="AWI2535" s="173"/>
      <c r="BGD2535" s="173"/>
      <c r="BGE2535" s="173"/>
      <c r="BPZ2535" s="173"/>
      <c r="BQA2535" s="173"/>
      <c r="BZV2535" s="173"/>
      <c r="BZW2535" s="173"/>
      <c r="CJR2535" s="173"/>
      <c r="CJS2535" s="173"/>
      <c r="CTN2535" s="173"/>
      <c r="CTO2535" s="173"/>
      <c r="DDJ2535" s="173"/>
      <c r="DDK2535" s="173"/>
      <c r="DNF2535" s="173"/>
      <c r="DNG2535" s="173"/>
      <c r="DXB2535" s="173"/>
      <c r="DXC2535" s="173"/>
      <c r="EGX2535" s="173"/>
      <c r="EGY2535" s="173"/>
      <c r="EQT2535" s="173"/>
      <c r="EQU2535" s="173"/>
      <c r="FAP2535" s="173"/>
      <c r="FAQ2535" s="173"/>
      <c r="FKL2535" s="173"/>
      <c r="FKM2535" s="173"/>
      <c r="FUH2535" s="173"/>
      <c r="FUI2535" s="173"/>
      <c r="GED2535" s="173"/>
      <c r="GEE2535" s="173"/>
      <c r="GNZ2535" s="173"/>
      <c r="GOA2535" s="173"/>
      <c r="GXV2535" s="173"/>
      <c r="GXW2535" s="173"/>
      <c r="HHR2535" s="173"/>
      <c r="HHS2535" s="173"/>
      <c r="HRN2535" s="173"/>
      <c r="HRO2535" s="173"/>
      <c r="IBJ2535" s="173"/>
      <c r="IBK2535" s="173"/>
      <c r="ILF2535" s="173"/>
      <c r="ILG2535" s="173"/>
      <c r="IVB2535" s="173"/>
      <c r="IVC2535" s="173"/>
      <c r="JEX2535" s="173"/>
      <c r="JEY2535" s="173"/>
      <c r="JOT2535" s="173"/>
      <c r="JOU2535" s="173"/>
      <c r="JYP2535" s="173"/>
      <c r="JYQ2535" s="173"/>
      <c r="KIL2535" s="173"/>
      <c r="KIM2535" s="173"/>
      <c r="KSH2535" s="173"/>
      <c r="KSI2535" s="173"/>
      <c r="LCD2535" s="173"/>
      <c r="LCE2535" s="173"/>
      <c r="LLZ2535" s="173"/>
      <c r="LMA2535" s="173"/>
      <c r="LVV2535" s="173"/>
      <c r="LVW2535" s="173"/>
      <c r="MFR2535" s="173"/>
      <c r="MFS2535" s="173"/>
      <c r="MPN2535" s="173"/>
      <c r="MPO2535" s="173"/>
      <c r="MZJ2535" s="173"/>
      <c r="MZK2535" s="173"/>
      <c r="NJF2535" s="173"/>
      <c r="NJG2535" s="173"/>
      <c r="NTB2535" s="173"/>
      <c r="NTC2535" s="173"/>
      <c r="OCX2535" s="173"/>
      <c r="OCY2535" s="173"/>
      <c r="OMT2535" s="173"/>
      <c r="OMU2535" s="173"/>
      <c r="OWP2535" s="173"/>
      <c r="OWQ2535" s="173"/>
      <c r="PGL2535" s="173"/>
      <c r="PGM2535" s="173"/>
      <c r="PQH2535" s="173"/>
      <c r="PQI2535" s="173"/>
      <c r="QAD2535" s="173"/>
      <c r="QAE2535" s="173"/>
      <c r="QJZ2535" s="173"/>
      <c r="QKA2535" s="173"/>
      <c r="QTV2535" s="173"/>
      <c r="QTW2535" s="173"/>
      <c r="RDR2535" s="173"/>
      <c r="RDS2535" s="173"/>
      <c r="RNN2535" s="173"/>
      <c r="RNO2535" s="173"/>
      <c r="RXJ2535" s="173"/>
      <c r="RXK2535" s="173"/>
      <c r="SHF2535" s="173"/>
      <c r="SHG2535" s="173"/>
      <c r="SRB2535" s="173"/>
      <c r="SRC2535" s="173"/>
      <c r="TAX2535" s="173"/>
      <c r="TAY2535" s="173"/>
      <c r="TKT2535" s="173"/>
      <c r="TKU2535" s="173"/>
      <c r="TUP2535" s="173"/>
      <c r="TUQ2535" s="173"/>
      <c r="UEL2535" s="173"/>
      <c r="UEM2535" s="173"/>
      <c r="UOH2535" s="173"/>
      <c r="UOI2535" s="173"/>
      <c r="UYD2535" s="173"/>
      <c r="UYE2535" s="173"/>
      <c r="VHZ2535" s="173"/>
      <c r="VIA2535" s="173"/>
      <c r="VRV2535" s="173"/>
      <c r="VRW2535" s="173"/>
      <c r="WBR2535" s="173"/>
      <c r="WBS2535" s="173"/>
      <c r="WLN2535" s="173"/>
      <c r="WLO2535" s="173"/>
      <c r="WVJ2535" s="173"/>
      <c r="WVK2535" s="173"/>
    </row>
    <row r="2536" spans="1:771 1026:1795 2050:2819 3074:3843 4098:4867 5122:5891 6146:6915 7170:7939 8194:8963 9218:9987 10242:11011 11266:12035 12290:13059 13314:14083 14338:15107 15362:16131" ht="55.2" x14ac:dyDescent="0.3">
      <c r="A2536" s="164">
        <v>236</v>
      </c>
      <c r="B2536" s="29" t="s">
        <v>1913</v>
      </c>
      <c r="C2536" s="30" t="s">
        <v>1909</v>
      </c>
      <c r="D2536" s="31" t="s">
        <v>13</v>
      </c>
      <c r="E2536" s="32">
        <v>30.6</v>
      </c>
      <c r="F2536" s="33"/>
      <c r="G2536" s="33"/>
      <c r="H2536" s="34" t="s">
        <v>1914</v>
      </c>
    </row>
    <row r="2537" spans="1:771 1026:1795 2050:2819 3074:3843 4098:4867 5122:5891 6146:6915 7170:7939 8194:8963 9218:9987 10242:11011 11266:12035 12290:13059 13314:14083 14338:15107 15362:16131" x14ac:dyDescent="0.3">
      <c r="A2537" s="167"/>
      <c r="B2537" s="37"/>
      <c r="C2537" s="38" t="s">
        <v>14</v>
      </c>
      <c r="D2537" s="162"/>
      <c r="E2537" s="44"/>
      <c r="F2537" s="40"/>
      <c r="G2537" s="41">
        <f>SUM(G2538)</f>
        <v>318362400</v>
      </c>
      <c r="H2537" s="42"/>
    </row>
    <row r="2538" spans="1:771 1026:1795 2050:2819 3074:3843 4098:4867 5122:5891 6146:6915 7170:7939 8194:8963 9218:9987 10242:11011 11266:12035 12290:13059 13314:14083 14338:15107 15362:16131" ht="78" x14ac:dyDescent="0.3">
      <c r="A2538" s="167"/>
      <c r="B2538" s="46" t="s">
        <v>1915</v>
      </c>
      <c r="C2538" s="43" t="s">
        <v>55</v>
      </c>
      <c r="D2538" s="39" t="s">
        <v>13</v>
      </c>
      <c r="E2538" s="44">
        <v>30.6</v>
      </c>
      <c r="F2538" s="153">
        <v>10404000</v>
      </c>
      <c r="G2538" s="40">
        <f>E2538*F2538</f>
        <v>318362400</v>
      </c>
      <c r="H2538" s="42"/>
    </row>
    <row r="2539" spans="1:771 1026:1795 2050:2819 3074:3843 4098:4867 5122:5891 6146:6915 7170:7939 8194:8963 9218:9987 10242:11011 11266:12035 12290:13059 13314:14083 14338:15107 15362:16131" s="35" customFormat="1" ht="65.400000000000006" thickBot="1" x14ac:dyDescent="0.35">
      <c r="A2539" s="53"/>
      <c r="B2539" s="54"/>
      <c r="C2539" s="55" t="s">
        <v>2331</v>
      </c>
      <c r="D2539" s="56"/>
      <c r="E2539" s="71"/>
      <c r="F2539" s="57"/>
      <c r="G2539" s="57"/>
      <c r="H2539" s="58"/>
    </row>
    <row r="2540" spans="1:771 1026:1795 2050:2819 3074:3843 4098:4867 5122:5891 6146:6915 7170:7939 8194:8963 9218:9987 10242:11011 11266:12035 12290:13059 13314:14083 14338:15107 15362:16131" s="177" customFormat="1" ht="31.8" thickBot="1" x14ac:dyDescent="0.35">
      <c r="A2540" s="174"/>
      <c r="B2540" s="155" t="s">
        <v>26</v>
      </c>
      <c r="C2540" s="175"/>
      <c r="D2540" s="23"/>
      <c r="E2540" s="176"/>
      <c r="F2540" s="159"/>
      <c r="G2540" s="159">
        <f>SUM(G2536:G2539)/2</f>
        <v>318362400</v>
      </c>
      <c r="H2540" s="160"/>
      <c r="IX2540" s="173"/>
      <c r="IY2540" s="173"/>
      <c r="ST2540" s="173"/>
      <c r="SU2540" s="173"/>
      <c r="ACP2540" s="173"/>
      <c r="ACQ2540" s="173"/>
      <c r="AML2540" s="173"/>
      <c r="AMM2540" s="173"/>
      <c r="AWH2540" s="173"/>
      <c r="AWI2540" s="173"/>
      <c r="BGD2540" s="173"/>
      <c r="BGE2540" s="173"/>
      <c r="BPZ2540" s="173"/>
      <c r="BQA2540" s="173"/>
      <c r="BZV2540" s="173"/>
      <c r="BZW2540" s="173"/>
      <c r="CJR2540" s="173"/>
      <c r="CJS2540" s="173"/>
      <c r="CTN2540" s="173"/>
      <c r="CTO2540" s="173"/>
      <c r="DDJ2540" s="173"/>
      <c r="DDK2540" s="173"/>
      <c r="DNF2540" s="173"/>
      <c r="DNG2540" s="173"/>
      <c r="DXB2540" s="173"/>
      <c r="DXC2540" s="173"/>
      <c r="EGX2540" s="173"/>
      <c r="EGY2540" s="173"/>
      <c r="EQT2540" s="173"/>
      <c r="EQU2540" s="173"/>
      <c r="FAP2540" s="173"/>
      <c r="FAQ2540" s="173"/>
      <c r="FKL2540" s="173"/>
      <c r="FKM2540" s="173"/>
      <c r="FUH2540" s="173"/>
      <c r="FUI2540" s="173"/>
      <c r="GED2540" s="173"/>
      <c r="GEE2540" s="173"/>
      <c r="GNZ2540" s="173"/>
      <c r="GOA2540" s="173"/>
      <c r="GXV2540" s="173"/>
      <c r="GXW2540" s="173"/>
      <c r="HHR2540" s="173"/>
      <c r="HHS2540" s="173"/>
      <c r="HRN2540" s="173"/>
      <c r="HRO2540" s="173"/>
      <c r="IBJ2540" s="173"/>
      <c r="IBK2540" s="173"/>
      <c r="ILF2540" s="173"/>
      <c r="ILG2540" s="173"/>
      <c r="IVB2540" s="173"/>
      <c r="IVC2540" s="173"/>
      <c r="JEX2540" s="173"/>
      <c r="JEY2540" s="173"/>
      <c r="JOT2540" s="173"/>
      <c r="JOU2540" s="173"/>
      <c r="JYP2540" s="173"/>
      <c r="JYQ2540" s="173"/>
      <c r="KIL2540" s="173"/>
      <c r="KIM2540" s="173"/>
      <c r="KSH2540" s="173"/>
      <c r="KSI2540" s="173"/>
      <c r="LCD2540" s="173"/>
      <c r="LCE2540" s="173"/>
      <c r="LLZ2540" s="173"/>
      <c r="LMA2540" s="173"/>
      <c r="LVV2540" s="173"/>
      <c r="LVW2540" s="173"/>
      <c r="MFR2540" s="173"/>
      <c r="MFS2540" s="173"/>
      <c r="MPN2540" s="173"/>
      <c r="MPO2540" s="173"/>
      <c r="MZJ2540" s="173"/>
      <c r="MZK2540" s="173"/>
      <c r="NJF2540" s="173"/>
      <c r="NJG2540" s="173"/>
      <c r="NTB2540" s="173"/>
      <c r="NTC2540" s="173"/>
      <c r="OCX2540" s="173"/>
      <c r="OCY2540" s="173"/>
      <c r="OMT2540" s="173"/>
      <c r="OMU2540" s="173"/>
      <c r="OWP2540" s="173"/>
      <c r="OWQ2540" s="173"/>
      <c r="PGL2540" s="173"/>
      <c r="PGM2540" s="173"/>
      <c r="PQH2540" s="173"/>
      <c r="PQI2540" s="173"/>
      <c r="QAD2540" s="173"/>
      <c r="QAE2540" s="173"/>
      <c r="QJZ2540" s="173"/>
      <c r="QKA2540" s="173"/>
      <c r="QTV2540" s="173"/>
      <c r="QTW2540" s="173"/>
      <c r="RDR2540" s="173"/>
      <c r="RDS2540" s="173"/>
      <c r="RNN2540" s="173"/>
      <c r="RNO2540" s="173"/>
      <c r="RXJ2540" s="173"/>
      <c r="RXK2540" s="173"/>
      <c r="SHF2540" s="173"/>
      <c r="SHG2540" s="173"/>
      <c r="SRB2540" s="173"/>
      <c r="SRC2540" s="173"/>
      <c r="TAX2540" s="173"/>
      <c r="TAY2540" s="173"/>
      <c r="TKT2540" s="173"/>
      <c r="TKU2540" s="173"/>
      <c r="TUP2540" s="173"/>
      <c r="TUQ2540" s="173"/>
      <c r="UEL2540" s="173"/>
      <c r="UEM2540" s="173"/>
      <c r="UOH2540" s="173"/>
      <c r="UOI2540" s="173"/>
      <c r="UYD2540" s="173"/>
      <c r="UYE2540" s="173"/>
      <c r="VHZ2540" s="173"/>
      <c r="VIA2540" s="173"/>
      <c r="VRV2540" s="173"/>
      <c r="VRW2540" s="173"/>
      <c r="WBR2540" s="173"/>
      <c r="WBS2540" s="173"/>
      <c r="WLN2540" s="173"/>
      <c r="WLO2540" s="173"/>
      <c r="WVJ2540" s="173"/>
      <c r="WVK2540" s="173"/>
    </row>
    <row r="2541" spans="1:771 1026:1795 2050:2819 3074:3843 4098:4867 5122:5891 6146:6915 7170:7939 8194:8963 9218:9987 10242:11011 11266:12035 12290:13059 13314:14083 14338:15107 15362:16131" ht="55.2" x14ac:dyDescent="0.3">
      <c r="A2541" s="164">
        <v>237</v>
      </c>
      <c r="B2541" s="29" t="s">
        <v>1916</v>
      </c>
      <c r="C2541" s="30" t="s">
        <v>1917</v>
      </c>
      <c r="D2541" s="31" t="s">
        <v>13</v>
      </c>
      <c r="E2541" s="32">
        <v>16.3</v>
      </c>
      <c r="F2541" s="33"/>
      <c r="G2541" s="33"/>
      <c r="H2541" s="34" t="s">
        <v>1918</v>
      </c>
    </row>
    <row r="2542" spans="1:771 1026:1795 2050:2819 3074:3843 4098:4867 5122:5891 6146:6915 7170:7939 8194:8963 9218:9987 10242:11011 11266:12035 12290:13059 13314:14083 14338:15107 15362:16131" ht="31.2" x14ac:dyDescent="0.3">
      <c r="A2542" s="167"/>
      <c r="B2542" s="37" t="s">
        <v>1919</v>
      </c>
      <c r="C2542" s="38" t="s">
        <v>14</v>
      </c>
      <c r="D2542" s="162"/>
      <c r="E2542" s="44"/>
      <c r="F2542" s="40"/>
      <c r="G2542" s="41">
        <f>SUM(G2543)</f>
        <v>317507700</v>
      </c>
      <c r="H2542" s="42"/>
    </row>
    <row r="2543" spans="1:771 1026:1795 2050:2819 3074:3843 4098:4867 5122:5891 6146:6915 7170:7939 8194:8963 9218:9987 10242:11011 11266:12035 12290:13059 13314:14083 14338:15107 15362:16131" ht="31.2" x14ac:dyDescent="0.3">
      <c r="A2543" s="167"/>
      <c r="B2543" s="37" t="s">
        <v>1920</v>
      </c>
      <c r="C2543" s="48" t="s">
        <v>38</v>
      </c>
      <c r="D2543" s="39" t="s">
        <v>13</v>
      </c>
      <c r="E2543" s="44">
        <v>16.3</v>
      </c>
      <c r="F2543" s="161">
        <v>19479000</v>
      </c>
      <c r="G2543" s="40">
        <f>E2543*F2543</f>
        <v>317507700</v>
      </c>
      <c r="H2543" s="52"/>
    </row>
    <row r="2544" spans="1:771 1026:1795 2050:2819 3074:3843 4098:4867 5122:5891 6146:6915 7170:7939 8194:8963 9218:9987 10242:11011 11266:12035 12290:13059 13314:14083 14338:15107 15362:16131" ht="78" x14ac:dyDescent="0.3">
      <c r="A2544" s="167"/>
      <c r="B2544" s="46" t="s">
        <v>1921</v>
      </c>
      <c r="C2544" s="47" t="s">
        <v>35</v>
      </c>
      <c r="D2544" s="39"/>
      <c r="E2544" s="44"/>
      <c r="F2544" s="40"/>
      <c r="G2544" s="41">
        <f>SUM(G2545:G2550)</f>
        <v>24592487</v>
      </c>
      <c r="H2544" s="42"/>
    </row>
    <row r="2545" spans="1:771 1026:1795 2050:2819 3074:3843 4098:4867 5122:5891 6146:6915 7170:7939 8194:8963 9218:9987 10242:11011 11266:12035 12290:13059 13314:14083 14338:15107 15362:16131" ht="93.6" x14ac:dyDescent="0.3">
      <c r="A2545" s="167"/>
      <c r="B2545" s="46"/>
      <c r="C2545" s="86" t="s">
        <v>1922</v>
      </c>
      <c r="D2545" s="39" t="s">
        <v>13</v>
      </c>
      <c r="E2545" s="44">
        <f>((2.2+0.6)*4.3)/2</f>
        <v>6.0200000000000005</v>
      </c>
      <c r="F2545" s="40">
        <v>3592000</v>
      </c>
      <c r="G2545" s="40">
        <f t="shared" ref="G2545:G2550" si="39">E2545*F2545</f>
        <v>21623840</v>
      </c>
      <c r="H2545" s="42" t="s">
        <v>2583</v>
      </c>
    </row>
    <row r="2546" spans="1:771 1026:1795 2050:2819 3074:3843 4098:4867 5122:5891 6146:6915 7170:7939 8194:8963 9218:9987 10242:11011 11266:12035 12290:13059 13314:14083 14338:15107 15362:16131" ht="31.2" x14ac:dyDescent="0.3">
      <c r="A2546" s="167"/>
      <c r="B2546" s="46"/>
      <c r="C2546" s="43" t="s">
        <v>1923</v>
      </c>
      <c r="D2546" s="39" t="s">
        <v>13</v>
      </c>
      <c r="E2546" s="44">
        <f>(4.3*1.4)/2</f>
        <v>3.01</v>
      </c>
      <c r="F2546" s="40"/>
      <c r="G2546" s="40">
        <f t="shared" si="39"/>
        <v>0</v>
      </c>
      <c r="H2546" s="111" t="s">
        <v>2453</v>
      </c>
    </row>
    <row r="2547" spans="1:771 1026:1795 2050:2819 3074:3843 4098:4867 5122:5891 6146:6915 7170:7939 8194:8963 9218:9987 10242:11011 11266:12035 12290:13059 13314:14083 14338:15107 15362:16131" ht="18.600000000000001" x14ac:dyDescent="0.3">
      <c r="A2547" s="167"/>
      <c r="B2547" s="46"/>
      <c r="C2547" s="43" t="s">
        <v>189</v>
      </c>
      <c r="D2547" s="39" t="s">
        <v>1893</v>
      </c>
      <c r="E2547" s="44">
        <f>1.7*3.1*0.1</f>
        <v>0.52700000000000002</v>
      </c>
      <c r="F2547" s="40">
        <v>1421000</v>
      </c>
      <c r="G2547" s="40">
        <f t="shared" si="39"/>
        <v>748867</v>
      </c>
      <c r="H2547" s="42"/>
    </row>
    <row r="2548" spans="1:771 1026:1795 2050:2819 3074:3843 4098:4867 5122:5891 6146:6915 7170:7939 8194:8963 9218:9987 10242:11011 11266:12035 12290:13059 13314:14083 14338:15107 15362:16131" ht="18.600000000000001" x14ac:dyDescent="0.3">
      <c r="A2548" s="167"/>
      <c r="B2548" s="46"/>
      <c r="C2548" s="43" t="s">
        <v>190</v>
      </c>
      <c r="D2548" s="39" t="s">
        <v>13</v>
      </c>
      <c r="E2548" s="44">
        <f>1.7*3.1*2</f>
        <v>10.54</v>
      </c>
      <c r="F2548" s="40">
        <v>107000</v>
      </c>
      <c r="G2548" s="40">
        <f t="shared" si="39"/>
        <v>1127780</v>
      </c>
      <c r="H2548" s="42"/>
    </row>
    <row r="2549" spans="1:771 1026:1795 2050:2819 3074:3843 4098:4867 5122:5891 6146:6915 7170:7939 8194:8963 9218:9987 10242:11011 11266:12035 12290:13059 13314:14083 14338:15107 15362:16131" x14ac:dyDescent="0.3">
      <c r="A2549" s="167"/>
      <c r="B2549" s="46"/>
      <c r="C2549" s="43" t="s">
        <v>105</v>
      </c>
      <c r="D2549" s="39" t="s">
        <v>106</v>
      </c>
      <c r="E2549" s="44">
        <v>1</v>
      </c>
      <c r="F2549" s="40"/>
      <c r="G2549" s="40">
        <f t="shared" si="39"/>
        <v>0</v>
      </c>
      <c r="H2549" s="52" t="s">
        <v>2353</v>
      </c>
    </row>
    <row r="2550" spans="1:771 1026:1795 2050:2819 3074:3843 4098:4867 5122:5891 6146:6915 7170:7939 8194:8963 9218:9987 10242:11011 11266:12035 12290:13059 13314:14083 14338:15107 15362:16131" ht="18.600000000000001" x14ac:dyDescent="0.3">
      <c r="A2550" s="167"/>
      <c r="B2550" s="46"/>
      <c r="C2550" s="43" t="s">
        <v>305</v>
      </c>
      <c r="D2550" s="39" t="s">
        <v>13</v>
      </c>
      <c r="E2550" s="44">
        <f>2*3.9</f>
        <v>7.8</v>
      </c>
      <c r="F2550" s="40">
        <v>140000</v>
      </c>
      <c r="G2550" s="40">
        <f t="shared" si="39"/>
        <v>1092000</v>
      </c>
      <c r="H2550" s="42"/>
    </row>
    <row r="2551" spans="1:771 1026:1795 2050:2819 3074:3843 4098:4867 5122:5891 6146:6915 7170:7939 8194:8963 9218:9987 10242:11011 11266:12035 12290:13059 13314:14083 14338:15107 15362:16131" s="35" customFormat="1" ht="65.400000000000006" thickBot="1" x14ac:dyDescent="0.35">
      <c r="A2551" s="53"/>
      <c r="B2551" s="54"/>
      <c r="C2551" s="55" t="s">
        <v>2331</v>
      </c>
      <c r="D2551" s="56"/>
      <c r="E2551" s="5"/>
      <c r="F2551" s="6"/>
      <c r="G2551" s="57"/>
      <c r="H2551" s="58"/>
    </row>
    <row r="2552" spans="1:771 1026:1795 2050:2819 3074:3843 4098:4867 5122:5891 6146:6915 7170:7939 8194:8963 9218:9987 10242:11011 11266:12035 12290:13059 13314:14083 14338:15107 15362:16131" s="177" customFormat="1" ht="31.8" thickBot="1" x14ac:dyDescent="0.35">
      <c r="A2552" s="174"/>
      <c r="B2552" s="155" t="s">
        <v>26</v>
      </c>
      <c r="C2552" s="175"/>
      <c r="D2552" s="23"/>
      <c r="E2552" s="176"/>
      <c r="F2552" s="159"/>
      <c r="G2552" s="159">
        <f>SUM(G2541:G2551)/2</f>
        <v>342100187</v>
      </c>
      <c r="H2552" s="160"/>
      <c r="IX2552" s="173"/>
      <c r="IY2552" s="173"/>
      <c r="ST2552" s="173"/>
      <c r="SU2552" s="173"/>
      <c r="ACP2552" s="173"/>
      <c r="ACQ2552" s="173"/>
      <c r="AML2552" s="173"/>
      <c r="AMM2552" s="173"/>
      <c r="AWH2552" s="173"/>
      <c r="AWI2552" s="173"/>
      <c r="BGD2552" s="173"/>
      <c r="BGE2552" s="173"/>
      <c r="BPZ2552" s="173"/>
      <c r="BQA2552" s="173"/>
      <c r="BZV2552" s="173"/>
      <c r="BZW2552" s="173"/>
      <c r="CJR2552" s="173"/>
      <c r="CJS2552" s="173"/>
      <c r="CTN2552" s="173"/>
      <c r="CTO2552" s="173"/>
      <c r="DDJ2552" s="173"/>
      <c r="DDK2552" s="173"/>
      <c r="DNF2552" s="173"/>
      <c r="DNG2552" s="173"/>
      <c r="DXB2552" s="173"/>
      <c r="DXC2552" s="173"/>
      <c r="EGX2552" s="173"/>
      <c r="EGY2552" s="173"/>
      <c r="EQT2552" s="173"/>
      <c r="EQU2552" s="173"/>
      <c r="FAP2552" s="173"/>
      <c r="FAQ2552" s="173"/>
      <c r="FKL2552" s="173"/>
      <c r="FKM2552" s="173"/>
      <c r="FUH2552" s="173"/>
      <c r="FUI2552" s="173"/>
      <c r="GED2552" s="173"/>
      <c r="GEE2552" s="173"/>
      <c r="GNZ2552" s="173"/>
      <c r="GOA2552" s="173"/>
      <c r="GXV2552" s="173"/>
      <c r="GXW2552" s="173"/>
      <c r="HHR2552" s="173"/>
      <c r="HHS2552" s="173"/>
      <c r="HRN2552" s="173"/>
      <c r="HRO2552" s="173"/>
      <c r="IBJ2552" s="173"/>
      <c r="IBK2552" s="173"/>
      <c r="ILF2552" s="173"/>
      <c r="ILG2552" s="173"/>
      <c r="IVB2552" s="173"/>
      <c r="IVC2552" s="173"/>
      <c r="JEX2552" s="173"/>
      <c r="JEY2552" s="173"/>
      <c r="JOT2552" s="173"/>
      <c r="JOU2552" s="173"/>
      <c r="JYP2552" s="173"/>
      <c r="JYQ2552" s="173"/>
      <c r="KIL2552" s="173"/>
      <c r="KIM2552" s="173"/>
      <c r="KSH2552" s="173"/>
      <c r="KSI2552" s="173"/>
      <c r="LCD2552" s="173"/>
      <c r="LCE2552" s="173"/>
      <c r="LLZ2552" s="173"/>
      <c r="LMA2552" s="173"/>
      <c r="LVV2552" s="173"/>
      <c r="LVW2552" s="173"/>
      <c r="MFR2552" s="173"/>
      <c r="MFS2552" s="173"/>
      <c r="MPN2552" s="173"/>
      <c r="MPO2552" s="173"/>
      <c r="MZJ2552" s="173"/>
      <c r="MZK2552" s="173"/>
      <c r="NJF2552" s="173"/>
      <c r="NJG2552" s="173"/>
      <c r="NTB2552" s="173"/>
      <c r="NTC2552" s="173"/>
      <c r="OCX2552" s="173"/>
      <c r="OCY2552" s="173"/>
      <c r="OMT2552" s="173"/>
      <c r="OMU2552" s="173"/>
      <c r="OWP2552" s="173"/>
      <c r="OWQ2552" s="173"/>
      <c r="PGL2552" s="173"/>
      <c r="PGM2552" s="173"/>
      <c r="PQH2552" s="173"/>
      <c r="PQI2552" s="173"/>
      <c r="QAD2552" s="173"/>
      <c r="QAE2552" s="173"/>
      <c r="QJZ2552" s="173"/>
      <c r="QKA2552" s="173"/>
      <c r="QTV2552" s="173"/>
      <c r="QTW2552" s="173"/>
      <c r="RDR2552" s="173"/>
      <c r="RDS2552" s="173"/>
      <c r="RNN2552" s="173"/>
      <c r="RNO2552" s="173"/>
      <c r="RXJ2552" s="173"/>
      <c r="RXK2552" s="173"/>
      <c r="SHF2552" s="173"/>
      <c r="SHG2552" s="173"/>
      <c r="SRB2552" s="173"/>
      <c r="SRC2552" s="173"/>
      <c r="TAX2552" s="173"/>
      <c r="TAY2552" s="173"/>
      <c r="TKT2552" s="173"/>
      <c r="TKU2552" s="173"/>
      <c r="TUP2552" s="173"/>
      <c r="TUQ2552" s="173"/>
      <c r="UEL2552" s="173"/>
      <c r="UEM2552" s="173"/>
      <c r="UOH2552" s="173"/>
      <c r="UOI2552" s="173"/>
      <c r="UYD2552" s="173"/>
      <c r="UYE2552" s="173"/>
      <c r="VHZ2552" s="173"/>
      <c r="VIA2552" s="173"/>
      <c r="VRV2552" s="173"/>
      <c r="VRW2552" s="173"/>
      <c r="WBR2552" s="173"/>
      <c r="WBS2552" s="173"/>
      <c r="WLN2552" s="173"/>
      <c r="WLO2552" s="173"/>
      <c r="WVJ2552" s="173"/>
      <c r="WVK2552" s="173"/>
    </row>
    <row r="2553" spans="1:771 1026:1795 2050:2819 3074:3843 4098:4867 5122:5891 6146:6915 7170:7939 8194:8963 9218:9987 10242:11011 11266:12035 12290:13059 13314:14083 14338:15107 15362:16131" ht="55.2" x14ac:dyDescent="0.3">
      <c r="A2553" s="164">
        <v>238</v>
      </c>
      <c r="B2553" s="29" t="s">
        <v>1924</v>
      </c>
      <c r="C2553" s="30" t="s">
        <v>1925</v>
      </c>
      <c r="D2553" s="31" t="s">
        <v>13</v>
      </c>
      <c r="E2553" s="32">
        <v>16.600000000000001</v>
      </c>
      <c r="F2553" s="33"/>
      <c r="G2553" s="33"/>
      <c r="H2553" s="34" t="s">
        <v>1926</v>
      </c>
    </row>
    <row r="2554" spans="1:771 1026:1795 2050:2819 3074:3843 4098:4867 5122:5891 6146:6915 7170:7939 8194:8963 9218:9987 10242:11011 11266:12035 12290:13059 13314:14083 14338:15107 15362:16131" x14ac:dyDescent="0.3">
      <c r="A2554" s="167"/>
      <c r="B2554" s="37" t="s">
        <v>1927</v>
      </c>
      <c r="C2554" s="38" t="s">
        <v>14</v>
      </c>
      <c r="D2554" s="162"/>
      <c r="E2554" s="44"/>
      <c r="F2554" s="40"/>
      <c r="G2554" s="41">
        <f>SUM(G2555)</f>
        <v>323351400</v>
      </c>
      <c r="H2554" s="42"/>
    </row>
    <row r="2555" spans="1:771 1026:1795 2050:2819 3074:3843 4098:4867 5122:5891 6146:6915 7170:7939 8194:8963 9218:9987 10242:11011 11266:12035 12290:13059 13314:14083 14338:15107 15362:16131" ht="18.600000000000001" x14ac:dyDescent="0.3">
      <c r="A2555" s="167"/>
      <c r="B2555" s="37" t="s">
        <v>1928</v>
      </c>
      <c r="C2555" s="48" t="s">
        <v>38</v>
      </c>
      <c r="D2555" s="39" t="s">
        <v>13</v>
      </c>
      <c r="E2555" s="44">
        <v>16.600000000000001</v>
      </c>
      <c r="F2555" s="161">
        <v>19479000</v>
      </c>
      <c r="G2555" s="40">
        <f>E2555*F2555</f>
        <v>323351400</v>
      </c>
      <c r="H2555" s="52"/>
    </row>
    <row r="2556" spans="1:771 1026:1795 2050:2819 3074:3843 4098:4867 5122:5891 6146:6915 7170:7939 8194:8963 9218:9987 10242:11011 11266:12035 12290:13059 13314:14083 14338:15107 15362:16131" ht="78" x14ac:dyDescent="0.3">
      <c r="A2556" s="167"/>
      <c r="B2556" s="46" t="s">
        <v>1929</v>
      </c>
      <c r="C2556" s="47" t="s">
        <v>35</v>
      </c>
      <c r="D2556" s="39"/>
      <c r="E2556" s="44"/>
      <c r="F2556" s="40"/>
      <c r="G2556" s="41">
        <f>SUM(G2557)</f>
        <v>0</v>
      </c>
      <c r="H2556" s="42"/>
    </row>
    <row r="2557" spans="1:771 1026:1795 2050:2819 3074:3843 4098:4867 5122:5891 6146:6915 7170:7939 8194:8963 9218:9987 10242:11011 11266:12035 12290:13059 13314:14083 14338:15107 15362:16131" ht="55.2" x14ac:dyDescent="0.3">
      <c r="A2557" s="167"/>
      <c r="B2557" s="46" t="s">
        <v>1930</v>
      </c>
      <c r="C2557" s="43" t="s">
        <v>1931</v>
      </c>
      <c r="D2557" s="39" t="s">
        <v>13</v>
      </c>
      <c r="E2557" s="44">
        <f>2*11.4</f>
        <v>22.8</v>
      </c>
      <c r="F2557" s="40"/>
      <c r="G2557" s="40">
        <f>E2557*F2557</f>
        <v>0</v>
      </c>
      <c r="H2557" s="42" t="s">
        <v>2584</v>
      </c>
    </row>
    <row r="2558" spans="1:771 1026:1795 2050:2819 3074:3843 4098:4867 5122:5891 6146:6915 7170:7939 8194:8963 9218:9987 10242:11011 11266:12035 12290:13059 13314:14083 14338:15107 15362:16131" s="35" customFormat="1" ht="65.400000000000006" thickBot="1" x14ac:dyDescent="0.35">
      <c r="A2558" s="53"/>
      <c r="B2558" s="54"/>
      <c r="C2558" s="55" t="s">
        <v>2331</v>
      </c>
      <c r="D2558" s="56"/>
      <c r="E2558" s="5"/>
      <c r="F2558" s="6"/>
      <c r="G2558" s="57"/>
      <c r="H2558" s="58"/>
    </row>
    <row r="2559" spans="1:771 1026:1795 2050:2819 3074:3843 4098:4867 5122:5891 6146:6915 7170:7939 8194:8963 9218:9987 10242:11011 11266:12035 12290:13059 13314:14083 14338:15107 15362:16131" s="177" customFormat="1" ht="31.8" thickBot="1" x14ac:dyDescent="0.35">
      <c r="A2559" s="174"/>
      <c r="B2559" s="155" t="s">
        <v>26</v>
      </c>
      <c r="C2559" s="175"/>
      <c r="D2559" s="23"/>
      <c r="E2559" s="176"/>
      <c r="F2559" s="159"/>
      <c r="G2559" s="159">
        <f>SUM(G2553:G2558)/2</f>
        <v>323351400</v>
      </c>
      <c r="H2559" s="160"/>
      <c r="IX2559" s="173"/>
      <c r="IY2559" s="173"/>
      <c r="ST2559" s="173"/>
      <c r="SU2559" s="173"/>
      <c r="ACP2559" s="173"/>
      <c r="ACQ2559" s="173"/>
      <c r="AML2559" s="173"/>
      <c r="AMM2559" s="173"/>
      <c r="AWH2559" s="173"/>
      <c r="AWI2559" s="173"/>
      <c r="BGD2559" s="173"/>
      <c r="BGE2559" s="173"/>
      <c r="BPZ2559" s="173"/>
      <c r="BQA2559" s="173"/>
      <c r="BZV2559" s="173"/>
      <c r="BZW2559" s="173"/>
      <c r="CJR2559" s="173"/>
      <c r="CJS2559" s="173"/>
      <c r="CTN2559" s="173"/>
      <c r="CTO2559" s="173"/>
      <c r="DDJ2559" s="173"/>
      <c r="DDK2559" s="173"/>
      <c r="DNF2559" s="173"/>
      <c r="DNG2559" s="173"/>
      <c r="DXB2559" s="173"/>
      <c r="DXC2559" s="173"/>
      <c r="EGX2559" s="173"/>
      <c r="EGY2559" s="173"/>
      <c r="EQT2559" s="173"/>
      <c r="EQU2559" s="173"/>
      <c r="FAP2559" s="173"/>
      <c r="FAQ2559" s="173"/>
      <c r="FKL2559" s="173"/>
      <c r="FKM2559" s="173"/>
      <c r="FUH2559" s="173"/>
      <c r="FUI2559" s="173"/>
      <c r="GED2559" s="173"/>
      <c r="GEE2559" s="173"/>
      <c r="GNZ2559" s="173"/>
      <c r="GOA2559" s="173"/>
      <c r="GXV2559" s="173"/>
      <c r="GXW2559" s="173"/>
      <c r="HHR2559" s="173"/>
      <c r="HHS2559" s="173"/>
      <c r="HRN2559" s="173"/>
      <c r="HRO2559" s="173"/>
      <c r="IBJ2559" s="173"/>
      <c r="IBK2559" s="173"/>
      <c r="ILF2559" s="173"/>
      <c r="ILG2559" s="173"/>
      <c r="IVB2559" s="173"/>
      <c r="IVC2559" s="173"/>
      <c r="JEX2559" s="173"/>
      <c r="JEY2559" s="173"/>
      <c r="JOT2559" s="173"/>
      <c r="JOU2559" s="173"/>
      <c r="JYP2559" s="173"/>
      <c r="JYQ2559" s="173"/>
      <c r="KIL2559" s="173"/>
      <c r="KIM2559" s="173"/>
      <c r="KSH2559" s="173"/>
      <c r="KSI2559" s="173"/>
      <c r="LCD2559" s="173"/>
      <c r="LCE2559" s="173"/>
      <c r="LLZ2559" s="173"/>
      <c r="LMA2559" s="173"/>
      <c r="LVV2559" s="173"/>
      <c r="LVW2559" s="173"/>
      <c r="MFR2559" s="173"/>
      <c r="MFS2559" s="173"/>
      <c r="MPN2559" s="173"/>
      <c r="MPO2559" s="173"/>
      <c r="MZJ2559" s="173"/>
      <c r="MZK2559" s="173"/>
      <c r="NJF2559" s="173"/>
      <c r="NJG2559" s="173"/>
      <c r="NTB2559" s="173"/>
      <c r="NTC2559" s="173"/>
      <c r="OCX2559" s="173"/>
      <c r="OCY2559" s="173"/>
      <c r="OMT2559" s="173"/>
      <c r="OMU2559" s="173"/>
      <c r="OWP2559" s="173"/>
      <c r="OWQ2559" s="173"/>
      <c r="PGL2559" s="173"/>
      <c r="PGM2559" s="173"/>
      <c r="PQH2559" s="173"/>
      <c r="PQI2559" s="173"/>
      <c r="QAD2559" s="173"/>
      <c r="QAE2559" s="173"/>
      <c r="QJZ2559" s="173"/>
      <c r="QKA2559" s="173"/>
      <c r="QTV2559" s="173"/>
      <c r="QTW2559" s="173"/>
      <c r="RDR2559" s="173"/>
      <c r="RDS2559" s="173"/>
      <c r="RNN2559" s="173"/>
      <c r="RNO2559" s="173"/>
      <c r="RXJ2559" s="173"/>
      <c r="RXK2559" s="173"/>
      <c r="SHF2559" s="173"/>
      <c r="SHG2559" s="173"/>
      <c r="SRB2559" s="173"/>
      <c r="SRC2559" s="173"/>
      <c r="TAX2559" s="173"/>
      <c r="TAY2559" s="173"/>
      <c r="TKT2559" s="173"/>
      <c r="TKU2559" s="173"/>
      <c r="TUP2559" s="173"/>
      <c r="TUQ2559" s="173"/>
      <c r="UEL2559" s="173"/>
      <c r="UEM2559" s="173"/>
      <c r="UOH2559" s="173"/>
      <c r="UOI2559" s="173"/>
      <c r="UYD2559" s="173"/>
      <c r="UYE2559" s="173"/>
      <c r="VHZ2559" s="173"/>
      <c r="VIA2559" s="173"/>
      <c r="VRV2559" s="173"/>
      <c r="VRW2559" s="173"/>
      <c r="WBR2559" s="173"/>
      <c r="WBS2559" s="173"/>
      <c r="WLN2559" s="173"/>
      <c r="WLO2559" s="173"/>
      <c r="WVJ2559" s="173"/>
      <c r="WVK2559" s="173"/>
    </row>
    <row r="2560" spans="1:771 1026:1795 2050:2819 3074:3843 4098:4867 5122:5891 6146:6915 7170:7939 8194:8963 9218:9987 10242:11011 11266:12035 12290:13059 13314:14083 14338:15107 15362:16131" ht="55.2" x14ac:dyDescent="0.3">
      <c r="A2560" s="164">
        <v>239</v>
      </c>
      <c r="B2560" s="29" t="s">
        <v>1932</v>
      </c>
      <c r="C2560" s="30" t="s">
        <v>1933</v>
      </c>
      <c r="D2560" s="31" t="s">
        <v>13</v>
      </c>
      <c r="E2560" s="32">
        <v>14.3</v>
      </c>
      <c r="F2560" s="33"/>
      <c r="G2560" s="33"/>
      <c r="H2560" s="34" t="s">
        <v>1934</v>
      </c>
    </row>
    <row r="2561" spans="1:771 1026:1795 2050:2819 3074:3843 4098:4867 5122:5891 6146:6915 7170:7939 8194:8963 9218:9987 10242:11011 11266:12035 12290:13059 13314:14083 14338:15107 15362:16131" ht="55.2" x14ac:dyDescent="0.3">
      <c r="A2561" s="167"/>
      <c r="B2561" s="37" t="s">
        <v>1935</v>
      </c>
      <c r="C2561" s="48" t="s">
        <v>1936</v>
      </c>
      <c r="D2561" s="39" t="s">
        <v>13</v>
      </c>
      <c r="E2561" s="44">
        <v>8.9</v>
      </c>
      <c r="F2561" s="40"/>
      <c r="G2561" s="40"/>
      <c r="H2561" s="42" t="s">
        <v>1937</v>
      </c>
    </row>
    <row r="2562" spans="1:771 1026:1795 2050:2819 3074:3843 4098:4867 5122:5891 6146:6915 7170:7939 8194:8963 9218:9987 10242:11011 11266:12035 12290:13059 13314:14083 14338:15107 15362:16131" ht="31.2" x14ac:dyDescent="0.3">
      <c r="A2562" s="167"/>
      <c r="B2562" s="37" t="s">
        <v>1938</v>
      </c>
      <c r="C2562" s="38" t="s">
        <v>14</v>
      </c>
      <c r="D2562" s="39"/>
      <c r="E2562" s="44"/>
      <c r="F2562" s="40"/>
      <c r="G2562" s="41">
        <f>SUM(G2563:G2565)</f>
        <v>403048500</v>
      </c>
      <c r="H2562" s="52"/>
    </row>
    <row r="2563" spans="1:771 1026:1795 2050:2819 3074:3843 4098:4867 5122:5891 6146:6915 7170:7939 8194:8963 9218:9987 10242:11011 11266:12035 12290:13059 13314:14083 14338:15107 15362:16131" ht="62.4" x14ac:dyDescent="0.3">
      <c r="A2563" s="167"/>
      <c r="B2563" s="46" t="s">
        <v>1939</v>
      </c>
      <c r="C2563" s="43" t="s">
        <v>55</v>
      </c>
      <c r="D2563" s="39" t="s">
        <v>13</v>
      </c>
      <c r="E2563" s="44">
        <f>14.3+8.9</f>
        <v>23.200000000000003</v>
      </c>
      <c r="F2563" s="153">
        <v>10404000</v>
      </c>
      <c r="G2563" s="40">
        <f>E2563*F2563</f>
        <v>241372800.00000003</v>
      </c>
      <c r="H2563" s="42"/>
    </row>
    <row r="2564" spans="1:771 1026:1795 2050:2819 3074:3843 4098:4867 5122:5891 6146:6915 7170:7939 8194:8963 9218:9987 10242:11011 11266:12035 12290:13059 13314:14083 14338:15107 15362:16131" ht="41.4" x14ac:dyDescent="0.3">
      <c r="A2564" s="167"/>
      <c r="B2564" s="70"/>
      <c r="C2564" s="48" t="s">
        <v>2619</v>
      </c>
      <c r="D2564" s="39" t="s">
        <v>13</v>
      </c>
      <c r="E2564" s="87">
        <v>8.3000000000000007</v>
      </c>
      <c r="F2564" s="40"/>
      <c r="G2564" s="40"/>
      <c r="H2564" s="42" t="s">
        <v>2028</v>
      </c>
    </row>
    <row r="2565" spans="1:771 1026:1795 2050:2819 3074:3843 4098:4867 5122:5891 6146:6915 7170:7939 8194:8963 9218:9987 10242:11011 11266:12035 12290:13059 13314:14083 14338:15107 15362:16131" ht="18.600000000000001" x14ac:dyDescent="0.3">
      <c r="A2565" s="167"/>
      <c r="B2565" s="37"/>
      <c r="C2565" s="48" t="s">
        <v>38</v>
      </c>
      <c r="D2565" s="39" t="s">
        <v>13</v>
      </c>
      <c r="E2565" s="44">
        <v>8.3000000000000007</v>
      </c>
      <c r="F2565" s="161">
        <v>19479000</v>
      </c>
      <c r="G2565" s="40">
        <f>E2565*F2565</f>
        <v>161675700</v>
      </c>
      <c r="H2565" s="42"/>
    </row>
    <row r="2566" spans="1:771 1026:1795 2050:2819 3074:3843 4098:4867 5122:5891 6146:6915 7170:7939 8194:8963 9218:9987 10242:11011 11266:12035 12290:13059 13314:14083 14338:15107 15362:16131" x14ac:dyDescent="0.3">
      <c r="A2566" s="167"/>
      <c r="B2566" s="46"/>
      <c r="C2566" s="47" t="s">
        <v>35</v>
      </c>
      <c r="D2566" s="39"/>
      <c r="E2566" s="44"/>
      <c r="F2566" s="40"/>
      <c r="G2566" s="41">
        <f>SUM(G2567:G2572)</f>
        <v>13643160</v>
      </c>
      <c r="H2566" s="42"/>
    </row>
    <row r="2567" spans="1:771 1026:1795 2050:2819 3074:3843 4098:4867 5122:5891 6146:6915 7170:7939 8194:8963 9218:9987 10242:11011 11266:12035 12290:13059 13314:14083 14338:15107 15362:16131" ht="69" x14ac:dyDescent="0.3">
      <c r="A2567" s="167"/>
      <c r="B2567" s="46"/>
      <c r="C2567" s="43" t="s">
        <v>1940</v>
      </c>
      <c r="D2567" s="39" t="s">
        <v>13</v>
      </c>
      <c r="E2567" s="44">
        <f>2*13.1</f>
        <v>26.2</v>
      </c>
      <c r="F2567" s="40"/>
      <c r="G2567" s="40">
        <f>E2567*F2567</f>
        <v>0</v>
      </c>
      <c r="H2567" s="42" t="s">
        <v>2585</v>
      </c>
    </row>
    <row r="2568" spans="1:771 1026:1795 2050:2819 3074:3843 4098:4867 5122:5891 6146:6915 7170:7939 8194:8963 9218:9987 10242:11011 11266:12035 12290:13059 13314:14083 14338:15107 15362:16131" ht="18.600000000000001" x14ac:dyDescent="0.3">
      <c r="A2568" s="167"/>
      <c r="B2568" s="46"/>
      <c r="C2568" s="66" t="s">
        <v>189</v>
      </c>
      <c r="D2568" s="39" t="s">
        <v>1893</v>
      </c>
      <c r="E2568" s="44">
        <f>2*3.8*0.1</f>
        <v>0.76</v>
      </c>
      <c r="F2568" s="40">
        <v>1421000</v>
      </c>
      <c r="G2568" s="40">
        <f>E2568*F2568</f>
        <v>1079960</v>
      </c>
      <c r="H2568" s="42"/>
    </row>
    <row r="2569" spans="1:771 1026:1795 2050:2819 3074:3843 4098:4867 5122:5891 6146:6915 7170:7939 8194:8963 9218:9987 10242:11011 11266:12035 12290:13059 13314:14083 14338:15107 15362:16131" ht="18.600000000000001" x14ac:dyDescent="0.3">
      <c r="A2569" s="167"/>
      <c r="B2569" s="46"/>
      <c r="C2569" s="66" t="s">
        <v>190</v>
      </c>
      <c r="D2569" s="39" t="s">
        <v>13</v>
      </c>
      <c r="E2569" s="44">
        <f>(2*3.8)*2</f>
        <v>15.2</v>
      </c>
      <c r="F2569" s="40">
        <v>107000</v>
      </c>
      <c r="G2569" s="40">
        <f>E2569*F2569</f>
        <v>1626400</v>
      </c>
      <c r="H2569" s="42"/>
    </row>
    <row r="2570" spans="1:771 1026:1795 2050:2819 3074:3843 4098:4867 5122:5891 6146:6915 7170:7939 8194:8963 9218:9987 10242:11011 11266:12035 12290:13059 13314:14083 14338:15107 15362:16131" ht="69" x14ac:dyDescent="0.3">
      <c r="A2570" s="167"/>
      <c r="B2570" s="37"/>
      <c r="C2570" s="66" t="s">
        <v>2029</v>
      </c>
      <c r="D2570" s="39" t="s">
        <v>13</v>
      </c>
      <c r="E2570" s="44">
        <f>((2.12+2.08)*5)/2</f>
        <v>10.5</v>
      </c>
      <c r="F2570" s="40">
        <f>540000*40%</f>
        <v>216000</v>
      </c>
      <c r="G2570" s="40">
        <f>E2570*F2570</f>
        <v>2268000</v>
      </c>
      <c r="H2570" s="42" t="s">
        <v>2620</v>
      </c>
    </row>
    <row r="2571" spans="1:771 1026:1795 2050:2819 3074:3843 4098:4867 5122:5891 6146:6915 7170:7939 8194:8963 9218:9987 10242:11011 11266:12035 12290:13059 13314:14083 14338:15107 15362:16131" ht="31.2" x14ac:dyDescent="0.3">
      <c r="A2571" s="167"/>
      <c r="B2571" s="37"/>
      <c r="C2571" s="66" t="s">
        <v>2030</v>
      </c>
      <c r="D2571" s="39" t="s">
        <v>13</v>
      </c>
      <c r="E2571" s="44">
        <f>(2.12*2)+(2.08*2)</f>
        <v>8.4</v>
      </c>
      <c r="F2571" s="40">
        <v>1032000</v>
      </c>
      <c r="G2571" s="40">
        <f>E2571*F2571</f>
        <v>8668800</v>
      </c>
      <c r="H2571" s="42" t="s">
        <v>2621</v>
      </c>
    </row>
    <row r="2572" spans="1:771 1026:1795 2050:2819 3074:3843 4098:4867 5122:5891 6146:6915 7170:7939 8194:8963 9218:9987 10242:11011 11266:12035 12290:13059 13314:14083 14338:15107 15362:16131" s="35" customFormat="1" ht="65.400000000000006" thickBot="1" x14ac:dyDescent="0.35">
      <c r="A2572" s="53"/>
      <c r="B2572" s="54"/>
      <c r="C2572" s="55" t="s">
        <v>2331</v>
      </c>
      <c r="D2572" s="56"/>
      <c r="E2572" s="5"/>
      <c r="F2572" s="6"/>
      <c r="G2572" s="57"/>
      <c r="H2572" s="58"/>
    </row>
    <row r="2573" spans="1:771 1026:1795 2050:2819 3074:3843 4098:4867 5122:5891 6146:6915 7170:7939 8194:8963 9218:9987 10242:11011 11266:12035 12290:13059 13314:14083 14338:15107 15362:16131" s="177" customFormat="1" ht="31.8" thickBot="1" x14ac:dyDescent="0.35">
      <c r="A2573" s="174"/>
      <c r="B2573" s="155" t="s">
        <v>26</v>
      </c>
      <c r="C2573" s="175"/>
      <c r="D2573" s="23"/>
      <c r="E2573" s="176"/>
      <c r="F2573" s="159"/>
      <c r="G2573" s="159">
        <f>SUM(G2560:G2572)/2</f>
        <v>416691660</v>
      </c>
      <c r="H2573" s="160"/>
      <c r="IX2573" s="173"/>
      <c r="IY2573" s="173"/>
      <c r="ST2573" s="173"/>
      <c r="SU2573" s="173"/>
      <c r="ACP2573" s="173"/>
      <c r="ACQ2573" s="173"/>
      <c r="AML2573" s="173"/>
      <c r="AMM2573" s="173"/>
      <c r="AWH2573" s="173"/>
      <c r="AWI2573" s="173"/>
      <c r="BGD2573" s="173"/>
      <c r="BGE2573" s="173"/>
      <c r="BPZ2573" s="173"/>
      <c r="BQA2573" s="173"/>
      <c r="BZV2573" s="173"/>
      <c r="BZW2573" s="173"/>
      <c r="CJR2573" s="173"/>
      <c r="CJS2573" s="173"/>
      <c r="CTN2573" s="173"/>
      <c r="CTO2573" s="173"/>
      <c r="DDJ2573" s="173"/>
      <c r="DDK2573" s="173"/>
      <c r="DNF2573" s="173"/>
      <c r="DNG2573" s="173"/>
      <c r="DXB2573" s="173"/>
      <c r="DXC2573" s="173"/>
      <c r="EGX2573" s="173"/>
      <c r="EGY2573" s="173"/>
      <c r="EQT2573" s="173"/>
      <c r="EQU2573" s="173"/>
      <c r="FAP2573" s="173"/>
      <c r="FAQ2573" s="173"/>
      <c r="FKL2573" s="173"/>
      <c r="FKM2573" s="173"/>
      <c r="FUH2573" s="173"/>
      <c r="FUI2573" s="173"/>
      <c r="GED2573" s="173"/>
      <c r="GEE2573" s="173"/>
      <c r="GNZ2573" s="173"/>
      <c r="GOA2573" s="173"/>
      <c r="GXV2573" s="173"/>
      <c r="GXW2573" s="173"/>
      <c r="HHR2573" s="173"/>
      <c r="HHS2573" s="173"/>
      <c r="HRN2573" s="173"/>
      <c r="HRO2573" s="173"/>
      <c r="IBJ2573" s="173"/>
      <c r="IBK2573" s="173"/>
      <c r="ILF2573" s="173"/>
      <c r="ILG2573" s="173"/>
      <c r="IVB2573" s="173"/>
      <c r="IVC2573" s="173"/>
      <c r="JEX2573" s="173"/>
      <c r="JEY2573" s="173"/>
      <c r="JOT2573" s="173"/>
      <c r="JOU2573" s="173"/>
      <c r="JYP2573" s="173"/>
      <c r="JYQ2573" s="173"/>
      <c r="KIL2573" s="173"/>
      <c r="KIM2573" s="173"/>
      <c r="KSH2573" s="173"/>
      <c r="KSI2573" s="173"/>
      <c r="LCD2573" s="173"/>
      <c r="LCE2573" s="173"/>
      <c r="LLZ2573" s="173"/>
      <c r="LMA2573" s="173"/>
      <c r="LVV2573" s="173"/>
      <c r="LVW2573" s="173"/>
      <c r="MFR2573" s="173"/>
      <c r="MFS2573" s="173"/>
      <c r="MPN2573" s="173"/>
      <c r="MPO2573" s="173"/>
      <c r="MZJ2573" s="173"/>
      <c r="MZK2573" s="173"/>
      <c r="NJF2573" s="173"/>
      <c r="NJG2573" s="173"/>
      <c r="NTB2573" s="173"/>
      <c r="NTC2573" s="173"/>
      <c r="OCX2573" s="173"/>
      <c r="OCY2573" s="173"/>
      <c r="OMT2573" s="173"/>
      <c r="OMU2573" s="173"/>
      <c r="OWP2573" s="173"/>
      <c r="OWQ2573" s="173"/>
      <c r="PGL2573" s="173"/>
      <c r="PGM2573" s="173"/>
      <c r="PQH2573" s="173"/>
      <c r="PQI2573" s="173"/>
      <c r="QAD2573" s="173"/>
      <c r="QAE2573" s="173"/>
      <c r="QJZ2573" s="173"/>
      <c r="QKA2573" s="173"/>
      <c r="QTV2573" s="173"/>
      <c r="QTW2573" s="173"/>
      <c r="RDR2573" s="173"/>
      <c r="RDS2573" s="173"/>
      <c r="RNN2573" s="173"/>
      <c r="RNO2573" s="173"/>
      <c r="RXJ2573" s="173"/>
      <c r="RXK2573" s="173"/>
      <c r="SHF2573" s="173"/>
      <c r="SHG2573" s="173"/>
      <c r="SRB2573" s="173"/>
      <c r="SRC2573" s="173"/>
      <c r="TAX2573" s="173"/>
      <c r="TAY2573" s="173"/>
      <c r="TKT2573" s="173"/>
      <c r="TKU2573" s="173"/>
      <c r="TUP2573" s="173"/>
      <c r="TUQ2573" s="173"/>
      <c r="UEL2573" s="173"/>
      <c r="UEM2573" s="173"/>
      <c r="UOH2573" s="173"/>
      <c r="UOI2573" s="173"/>
      <c r="UYD2573" s="173"/>
      <c r="UYE2573" s="173"/>
      <c r="VHZ2573" s="173"/>
      <c r="VIA2573" s="173"/>
      <c r="VRV2573" s="173"/>
      <c r="VRW2573" s="173"/>
      <c r="WBR2573" s="173"/>
      <c r="WBS2573" s="173"/>
      <c r="WLN2573" s="173"/>
      <c r="WLO2573" s="173"/>
      <c r="WVJ2573" s="173"/>
      <c r="WVK2573" s="173"/>
    </row>
    <row r="2574" spans="1:771 1026:1795 2050:2819 3074:3843 4098:4867 5122:5891 6146:6915 7170:7939 8194:8963 9218:9987 10242:11011 11266:12035 12290:13059 13314:14083 14338:15107 15362:16131" ht="46.8" x14ac:dyDescent="0.3">
      <c r="A2574" s="88">
        <v>240</v>
      </c>
      <c r="B2574" s="61" t="s">
        <v>2231</v>
      </c>
      <c r="C2574" s="30" t="s">
        <v>2234</v>
      </c>
      <c r="D2574" s="89" t="s">
        <v>891</v>
      </c>
      <c r="E2574" s="120">
        <f>32.1+10</f>
        <v>42.1</v>
      </c>
      <c r="F2574" s="90"/>
      <c r="G2574" s="33"/>
      <c r="H2574" s="34" t="s">
        <v>2223</v>
      </c>
    </row>
    <row r="2575" spans="1:771 1026:1795 2050:2819 3074:3843 4098:4867 5122:5891 6146:6915 7170:7939 8194:8963 9218:9987 10242:11011 11266:12035 12290:13059 13314:14083 14338:15107 15362:16131" x14ac:dyDescent="0.3">
      <c r="A2575" s="115"/>
      <c r="B2575" s="38"/>
      <c r="C2575" s="38" t="s">
        <v>14</v>
      </c>
      <c r="D2575" s="92"/>
      <c r="E2575" s="121"/>
      <c r="F2575" s="117"/>
      <c r="G2575" s="41">
        <f>SUM(G2576)</f>
        <v>438008400</v>
      </c>
      <c r="H2575" s="42"/>
    </row>
    <row r="2576" spans="1:771 1026:1795 2050:2819 3074:3843 4098:4867 5122:5891 6146:6915 7170:7939 8194:8963 9218:9987 10242:11011 11266:12035 12290:13059 13314:14083 14338:15107 15362:16131" ht="31.2" x14ac:dyDescent="0.3">
      <c r="A2576" s="115"/>
      <c r="B2576" s="38"/>
      <c r="C2576" s="48" t="s">
        <v>55</v>
      </c>
      <c r="D2576" s="96" t="s">
        <v>891</v>
      </c>
      <c r="E2576" s="121">
        <f>32.1+10</f>
        <v>42.1</v>
      </c>
      <c r="F2576" s="153">
        <v>10404000</v>
      </c>
      <c r="G2576" s="40">
        <f>E2576*F2576</f>
        <v>438008400</v>
      </c>
      <c r="H2576" s="42"/>
    </row>
    <row r="2577" spans="1:771 1026:1795 2050:2819 3074:3843 4098:4867 5122:5891 6146:6915 7170:7939 8194:8963 9218:9987 10242:11011 11266:12035 12290:13059 13314:14083 14338:15107 15362:16131" x14ac:dyDescent="0.3">
      <c r="A2577" s="91"/>
      <c r="B2577" s="37" t="s">
        <v>2232</v>
      </c>
      <c r="C2577" s="47" t="s">
        <v>35</v>
      </c>
      <c r="D2577" s="92"/>
      <c r="E2577" s="93"/>
      <c r="F2577" s="94"/>
      <c r="G2577" s="41">
        <f>SUM(G2578:G2581)</f>
        <v>5608645</v>
      </c>
      <c r="H2577" s="93"/>
    </row>
    <row r="2578" spans="1:771 1026:1795 2050:2819 3074:3843 4098:4867 5122:5891 6146:6915 7170:7939 8194:8963 9218:9987 10242:11011 11266:12035 12290:13059 13314:14083 14338:15107 15362:16131" ht="69" x14ac:dyDescent="0.3">
      <c r="A2578" s="95"/>
      <c r="B2578" s="46" t="s">
        <v>2233</v>
      </c>
      <c r="C2578" s="118" t="s">
        <v>2235</v>
      </c>
      <c r="D2578" s="116" t="s">
        <v>891</v>
      </c>
      <c r="E2578" s="128">
        <f>0.5*0.45*17</f>
        <v>3.8250000000000002</v>
      </c>
      <c r="F2578" s="99"/>
      <c r="G2578" s="40">
        <f>E2578*F2578</f>
        <v>0</v>
      </c>
      <c r="H2578" s="98" t="s">
        <v>2586</v>
      </c>
    </row>
    <row r="2579" spans="1:771 1026:1795 2050:2819 3074:3843 4098:4867 5122:5891 6146:6915 7170:7939 8194:8963 9218:9987 10242:11011 11266:12035 12290:13059 13314:14083 14338:15107 15362:16131" ht="31.2" x14ac:dyDescent="0.3">
      <c r="A2579" s="95"/>
      <c r="B2579" s="46"/>
      <c r="C2579" s="48" t="s">
        <v>2236</v>
      </c>
      <c r="D2579" s="116"/>
      <c r="E2579" s="128">
        <f>(1.55+2)*18.7*0.5</f>
        <v>33.192499999999995</v>
      </c>
      <c r="F2579" s="99"/>
      <c r="G2579" s="40">
        <f>E2579*F2579</f>
        <v>0</v>
      </c>
      <c r="H2579" s="98"/>
    </row>
    <row r="2580" spans="1:771 1026:1795 2050:2819 3074:3843 4098:4867 5122:5891 6146:6915 7170:7939 8194:8963 9218:9987 10242:11011 11266:12035 12290:13059 13314:14083 14338:15107 15362:16131" x14ac:dyDescent="0.3">
      <c r="A2580" s="95"/>
      <c r="B2580" s="46"/>
      <c r="C2580" s="48" t="s">
        <v>189</v>
      </c>
      <c r="D2580" s="116" t="s">
        <v>231</v>
      </c>
      <c r="E2580" s="128">
        <f>4.5*6.1*0.1</f>
        <v>2.7450000000000001</v>
      </c>
      <c r="F2580" s="40">
        <v>1421000</v>
      </c>
      <c r="G2580" s="40">
        <f>E2580*F2580</f>
        <v>3900645</v>
      </c>
      <c r="H2580" s="98"/>
    </row>
    <row r="2581" spans="1:771 1026:1795 2050:2819 3074:3843 4098:4867 5122:5891 6146:6915 7170:7939 8194:8963 9218:9987 10242:11011 11266:12035 12290:13059 13314:14083 14338:15107 15362:16131" x14ac:dyDescent="0.3">
      <c r="A2581" s="95"/>
      <c r="B2581" s="46"/>
      <c r="C2581" s="48" t="s">
        <v>305</v>
      </c>
      <c r="D2581" s="116" t="s">
        <v>234</v>
      </c>
      <c r="E2581" s="128">
        <f>2*6.1</f>
        <v>12.2</v>
      </c>
      <c r="F2581" s="40">
        <v>140000</v>
      </c>
      <c r="G2581" s="40">
        <f>E2581*F2581</f>
        <v>1708000</v>
      </c>
      <c r="H2581" s="98"/>
    </row>
    <row r="2582" spans="1:771 1026:1795 2050:2819 3074:3843 4098:4867 5122:5891 6146:6915 7170:7939 8194:8963 9218:9987 10242:11011 11266:12035 12290:13059 13314:14083 14338:15107 15362:16131" x14ac:dyDescent="0.3">
      <c r="A2582" s="36"/>
      <c r="B2582" s="46"/>
      <c r="C2582" s="51" t="s">
        <v>23</v>
      </c>
      <c r="D2582" s="39"/>
      <c r="E2582" s="1"/>
      <c r="F2582" s="2"/>
      <c r="G2582" s="41">
        <f>SUM(G2583:G2584)</f>
        <v>6120000</v>
      </c>
      <c r="H2582" s="52"/>
    </row>
    <row r="2583" spans="1:771 1026:1795 2050:2819 3074:3843 4098:4867 5122:5891 6146:6915 7170:7939 8194:8963 9218:9987 10242:11011 11266:12035 12290:13059 13314:14083 14338:15107 15362:16131" x14ac:dyDescent="0.3">
      <c r="A2583" s="53"/>
      <c r="B2583" s="54"/>
      <c r="C2583" s="67" t="s">
        <v>24</v>
      </c>
      <c r="D2583" s="56" t="s">
        <v>25</v>
      </c>
      <c r="E2583" s="5">
        <f>2*30*6</f>
        <v>360</v>
      </c>
      <c r="F2583" s="6">
        <v>17000</v>
      </c>
      <c r="G2583" s="57">
        <f>E2583*F2583</f>
        <v>6120000</v>
      </c>
      <c r="H2583" s="58"/>
    </row>
    <row r="2584" spans="1:771 1026:1795 2050:2819 3074:3843 4098:4867 5122:5891 6146:6915 7170:7939 8194:8963 9218:9987 10242:11011 11266:12035 12290:13059 13314:14083 14338:15107 15362:16131" s="35" customFormat="1" ht="65.400000000000006" thickBot="1" x14ac:dyDescent="0.35">
      <c r="A2584" s="53"/>
      <c r="B2584" s="54"/>
      <c r="C2584" s="55" t="s">
        <v>2331</v>
      </c>
      <c r="D2584" s="56"/>
      <c r="E2584" s="5"/>
      <c r="F2584" s="6"/>
      <c r="G2584" s="57"/>
      <c r="H2584" s="58"/>
    </row>
    <row r="2585" spans="1:771 1026:1795 2050:2819 3074:3843 4098:4867 5122:5891 6146:6915 7170:7939 8194:8963 9218:9987 10242:11011 11266:12035 12290:13059 13314:14083 14338:15107 15362:16131" s="177" customFormat="1" ht="31.8" thickBot="1" x14ac:dyDescent="0.35">
      <c r="A2585" s="154"/>
      <c r="B2585" s="155" t="s">
        <v>26</v>
      </c>
      <c r="C2585" s="156"/>
      <c r="D2585" s="154"/>
      <c r="E2585" s="157"/>
      <c r="F2585" s="158"/>
      <c r="G2585" s="159">
        <f>SUM(G2574:G2584)/2</f>
        <v>449737045</v>
      </c>
      <c r="H2585" s="160"/>
      <c r="IX2585" s="173"/>
      <c r="IY2585" s="173"/>
      <c r="ST2585" s="173"/>
      <c r="SU2585" s="173"/>
      <c r="ACP2585" s="173"/>
      <c r="ACQ2585" s="173"/>
      <c r="AML2585" s="173"/>
      <c r="AMM2585" s="173"/>
      <c r="AWH2585" s="173"/>
      <c r="AWI2585" s="173"/>
      <c r="BGD2585" s="173"/>
      <c r="BGE2585" s="173"/>
      <c r="BPZ2585" s="173"/>
      <c r="BQA2585" s="173"/>
      <c r="BZV2585" s="173"/>
      <c r="BZW2585" s="173"/>
      <c r="CJR2585" s="173"/>
      <c r="CJS2585" s="173"/>
      <c r="CTN2585" s="173"/>
      <c r="CTO2585" s="173"/>
      <c r="DDJ2585" s="173"/>
      <c r="DDK2585" s="173"/>
      <c r="DNF2585" s="173"/>
      <c r="DNG2585" s="173"/>
      <c r="DXB2585" s="173"/>
      <c r="DXC2585" s="173"/>
      <c r="EGX2585" s="173"/>
      <c r="EGY2585" s="173"/>
      <c r="EQT2585" s="173"/>
      <c r="EQU2585" s="173"/>
      <c r="FAP2585" s="173"/>
      <c r="FAQ2585" s="173"/>
      <c r="FKL2585" s="173"/>
      <c r="FKM2585" s="173"/>
      <c r="FUH2585" s="173"/>
      <c r="FUI2585" s="173"/>
      <c r="GED2585" s="173"/>
      <c r="GEE2585" s="173"/>
      <c r="GNZ2585" s="173"/>
      <c r="GOA2585" s="173"/>
      <c r="GXV2585" s="173"/>
      <c r="GXW2585" s="173"/>
      <c r="HHR2585" s="173"/>
      <c r="HHS2585" s="173"/>
      <c r="HRN2585" s="173"/>
      <c r="HRO2585" s="173"/>
      <c r="IBJ2585" s="173"/>
      <c r="IBK2585" s="173"/>
      <c r="ILF2585" s="173"/>
      <c r="ILG2585" s="173"/>
      <c r="IVB2585" s="173"/>
      <c r="IVC2585" s="173"/>
      <c r="JEX2585" s="173"/>
      <c r="JEY2585" s="173"/>
      <c r="JOT2585" s="173"/>
      <c r="JOU2585" s="173"/>
      <c r="JYP2585" s="173"/>
      <c r="JYQ2585" s="173"/>
      <c r="KIL2585" s="173"/>
      <c r="KIM2585" s="173"/>
      <c r="KSH2585" s="173"/>
      <c r="KSI2585" s="173"/>
      <c r="LCD2585" s="173"/>
      <c r="LCE2585" s="173"/>
      <c r="LLZ2585" s="173"/>
      <c r="LMA2585" s="173"/>
      <c r="LVV2585" s="173"/>
      <c r="LVW2585" s="173"/>
      <c r="MFR2585" s="173"/>
      <c r="MFS2585" s="173"/>
      <c r="MPN2585" s="173"/>
      <c r="MPO2585" s="173"/>
      <c r="MZJ2585" s="173"/>
      <c r="MZK2585" s="173"/>
      <c r="NJF2585" s="173"/>
      <c r="NJG2585" s="173"/>
      <c r="NTB2585" s="173"/>
      <c r="NTC2585" s="173"/>
      <c r="OCX2585" s="173"/>
      <c r="OCY2585" s="173"/>
      <c r="OMT2585" s="173"/>
      <c r="OMU2585" s="173"/>
      <c r="OWP2585" s="173"/>
      <c r="OWQ2585" s="173"/>
      <c r="PGL2585" s="173"/>
      <c r="PGM2585" s="173"/>
      <c r="PQH2585" s="173"/>
      <c r="PQI2585" s="173"/>
      <c r="QAD2585" s="173"/>
      <c r="QAE2585" s="173"/>
      <c r="QJZ2585" s="173"/>
      <c r="QKA2585" s="173"/>
      <c r="QTV2585" s="173"/>
      <c r="QTW2585" s="173"/>
      <c r="RDR2585" s="173"/>
      <c r="RDS2585" s="173"/>
      <c r="RNN2585" s="173"/>
      <c r="RNO2585" s="173"/>
      <c r="RXJ2585" s="173"/>
      <c r="RXK2585" s="173"/>
      <c r="SHF2585" s="173"/>
      <c r="SHG2585" s="173"/>
      <c r="SRB2585" s="173"/>
      <c r="SRC2585" s="173"/>
      <c r="TAX2585" s="173"/>
      <c r="TAY2585" s="173"/>
      <c r="TKT2585" s="173"/>
      <c r="TKU2585" s="173"/>
      <c r="TUP2585" s="173"/>
      <c r="TUQ2585" s="173"/>
      <c r="UEL2585" s="173"/>
      <c r="UEM2585" s="173"/>
      <c r="UOH2585" s="173"/>
      <c r="UOI2585" s="173"/>
      <c r="UYD2585" s="173"/>
      <c r="UYE2585" s="173"/>
      <c r="VHZ2585" s="173"/>
      <c r="VIA2585" s="173"/>
      <c r="VRV2585" s="173"/>
      <c r="VRW2585" s="173"/>
      <c r="WBR2585" s="173"/>
      <c r="WBS2585" s="173"/>
      <c r="WLN2585" s="173"/>
      <c r="WLO2585" s="173"/>
      <c r="WVJ2585" s="173"/>
      <c r="WVK2585" s="173"/>
    </row>
    <row r="2586" spans="1:771 1026:1795 2050:2819 3074:3843 4098:4867 5122:5891 6146:6915 7170:7939 8194:8963 9218:9987 10242:11011 11266:12035 12290:13059 13314:14083 14338:15107 15362:16131" ht="55.2" x14ac:dyDescent="0.3">
      <c r="A2586" s="164">
        <v>241</v>
      </c>
      <c r="B2586" s="29" t="s">
        <v>1941</v>
      </c>
      <c r="C2586" s="30" t="s">
        <v>1942</v>
      </c>
      <c r="D2586" s="31" t="s">
        <v>13</v>
      </c>
      <c r="E2586" s="32">
        <v>30.3</v>
      </c>
      <c r="F2586" s="33"/>
      <c r="G2586" s="33"/>
      <c r="H2586" s="34" t="s">
        <v>1943</v>
      </c>
    </row>
    <row r="2587" spans="1:771 1026:1795 2050:2819 3074:3843 4098:4867 5122:5891 6146:6915 7170:7939 8194:8963 9218:9987 10242:11011 11266:12035 12290:13059 13314:14083 14338:15107 15362:16131" ht="31.2" x14ac:dyDescent="0.3">
      <c r="A2587" s="167"/>
      <c r="B2587" s="37" t="s">
        <v>1944</v>
      </c>
      <c r="C2587" s="38" t="s">
        <v>14</v>
      </c>
      <c r="D2587" s="39"/>
      <c r="E2587" s="44"/>
      <c r="F2587" s="40"/>
      <c r="G2587" s="41">
        <f>SUM(G2588)</f>
        <v>315241200</v>
      </c>
      <c r="H2587" s="42"/>
    </row>
    <row r="2588" spans="1:771 1026:1795 2050:2819 3074:3843 4098:4867 5122:5891 6146:6915 7170:7939 8194:8963 9218:9987 10242:11011 11266:12035 12290:13059 13314:14083 14338:15107 15362:16131" ht="31.2" x14ac:dyDescent="0.3">
      <c r="A2588" s="167"/>
      <c r="B2588" s="37" t="s">
        <v>1945</v>
      </c>
      <c r="C2588" s="43" t="s">
        <v>55</v>
      </c>
      <c r="D2588" s="39" t="s">
        <v>13</v>
      </c>
      <c r="E2588" s="44">
        <v>30.3</v>
      </c>
      <c r="F2588" s="153">
        <v>10404000</v>
      </c>
      <c r="G2588" s="40">
        <f>E2588*F2588</f>
        <v>315241200</v>
      </c>
      <c r="H2588" s="52"/>
    </row>
    <row r="2589" spans="1:771 1026:1795 2050:2819 3074:3843 4098:4867 5122:5891 6146:6915 7170:7939 8194:8963 9218:9987 10242:11011 11266:12035 12290:13059 13314:14083 14338:15107 15362:16131" ht="78" x14ac:dyDescent="0.3">
      <c r="A2589" s="167"/>
      <c r="B2589" s="46" t="s">
        <v>1946</v>
      </c>
      <c r="C2589" s="47" t="s">
        <v>35</v>
      </c>
      <c r="D2589" s="39"/>
      <c r="E2589" s="44"/>
      <c r="F2589" s="40"/>
      <c r="G2589" s="41">
        <f>SUM(G2590:G2591)</f>
        <v>9589322.0000000019</v>
      </c>
      <c r="H2589" s="42"/>
    </row>
    <row r="2590" spans="1:771 1026:1795 2050:2819 3074:3843 4098:4867 5122:5891 6146:6915 7170:7939 8194:8963 9218:9987 10242:11011 11266:12035 12290:13059 13314:14083 14338:15107 15362:16131" ht="93.6" x14ac:dyDescent="0.3">
      <c r="A2590" s="167"/>
      <c r="B2590" s="46"/>
      <c r="C2590" s="86" t="s">
        <v>1947</v>
      </c>
      <c r="D2590" s="39" t="s">
        <v>13</v>
      </c>
      <c r="E2590" s="44">
        <f>((0.9+0.45)*8.3)/2</f>
        <v>5.6025000000000009</v>
      </c>
      <c r="F2590" s="40">
        <f>3592000*40%</f>
        <v>1436800</v>
      </c>
      <c r="G2590" s="40">
        <f>E2590*F2590</f>
        <v>8049672.0000000009</v>
      </c>
      <c r="H2590" s="42" t="s">
        <v>2587</v>
      </c>
    </row>
    <row r="2591" spans="1:771 1026:1795 2050:2819 3074:3843 4098:4867 5122:5891 6146:6915 7170:7939 8194:8963 9218:9987 10242:11011 11266:12035 12290:13059 13314:14083 14338:15107 15362:16131" ht="18.600000000000001" x14ac:dyDescent="0.3">
      <c r="A2591" s="167"/>
      <c r="B2591" s="46"/>
      <c r="C2591" s="66" t="s">
        <v>1948</v>
      </c>
      <c r="D2591" s="39" t="s">
        <v>13</v>
      </c>
      <c r="E2591" s="44">
        <f>((1.1+1.55)*8.3)/2</f>
        <v>10.997500000000002</v>
      </c>
      <c r="F2591" s="40">
        <v>140000</v>
      </c>
      <c r="G2591" s="40">
        <f>E2591*F2591</f>
        <v>1539650.0000000002</v>
      </c>
      <c r="H2591" s="42"/>
    </row>
    <row r="2592" spans="1:771 1026:1795 2050:2819 3074:3843 4098:4867 5122:5891 6146:6915 7170:7939 8194:8963 9218:9987 10242:11011 11266:12035 12290:13059 13314:14083 14338:15107 15362:16131" x14ac:dyDescent="0.3">
      <c r="A2592" s="167"/>
      <c r="B2592" s="46"/>
      <c r="C2592" s="51" t="s">
        <v>20</v>
      </c>
      <c r="D2592" s="39"/>
      <c r="E2592" s="44"/>
      <c r="F2592" s="40"/>
      <c r="G2592" s="41">
        <f>SUM(G2593:G2595)</f>
        <v>300000</v>
      </c>
      <c r="H2592" s="42"/>
    </row>
    <row r="2593" spans="1:771 1026:1795 2050:2819 3074:3843 4098:4867 5122:5891 6146:6915 7170:7939 8194:8963 9218:9987 10242:11011 11266:12035 12290:13059 13314:14083 14338:15107 15362:16131" x14ac:dyDescent="0.3">
      <c r="A2593" s="167"/>
      <c r="B2593" s="46"/>
      <c r="C2593" s="66" t="s">
        <v>902</v>
      </c>
      <c r="D2593" s="76" t="s">
        <v>22</v>
      </c>
      <c r="E2593" s="44">
        <v>1</v>
      </c>
      <c r="F2593" s="40">
        <v>40000</v>
      </c>
      <c r="G2593" s="40">
        <f>E2593*F2593</f>
        <v>40000</v>
      </c>
      <c r="H2593" s="42"/>
    </row>
    <row r="2594" spans="1:771 1026:1795 2050:2819 3074:3843 4098:4867 5122:5891 6146:6915 7170:7939 8194:8963 9218:9987 10242:11011 11266:12035 12290:13059 13314:14083 14338:15107 15362:16131" x14ac:dyDescent="0.3">
      <c r="A2594" s="167"/>
      <c r="B2594" s="46"/>
      <c r="C2594" s="66" t="s">
        <v>1949</v>
      </c>
      <c r="D2594" s="39" t="s">
        <v>21</v>
      </c>
      <c r="E2594" s="44">
        <v>1</v>
      </c>
      <c r="F2594" s="40">
        <v>100000</v>
      </c>
      <c r="G2594" s="40">
        <f>E2594*F2594</f>
        <v>100000</v>
      </c>
      <c r="H2594" s="42"/>
    </row>
    <row r="2595" spans="1:771 1026:1795 2050:2819 3074:3843 4098:4867 5122:5891 6146:6915 7170:7939 8194:8963 9218:9987 10242:11011 11266:12035 12290:13059 13314:14083 14338:15107 15362:16131" x14ac:dyDescent="0.3">
      <c r="A2595" s="167"/>
      <c r="B2595" s="46"/>
      <c r="C2595" s="66" t="s">
        <v>311</v>
      </c>
      <c r="D2595" s="76" t="s">
        <v>22</v>
      </c>
      <c r="E2595" s="44">
        <v>8</v>
      </c>
      <c r="F2595" s="74">
        <v>20000</v>
      </c>
      <c r="G2595" s="40">
        <f>E2595*F2595</f>
        <v>160000</v>
      </c>
      <c r="H2595" s="42"/>
    </row>
    <row r="2596" spans="1:771 1026:1795 2050:2819 3074:3843 4098:4867 5122:5891 6146:6915 7170:7939 8194:8963 9218:9987 10242:11011 11266:12035 12290:13059 13314:14083 14338:15107 15362:16131" x14ac:dyDescent="0.3">
      <c r="A2596" s="36"/>
      <c r="B2596" s="46"/>
      <c r="C2596" s="51" t="s">
        <v>23</v>
      </c>
      <c r="D2596" s="39"/>
      <c r="E2596" s="1"/>
      <c r="F2596" s="2"/>
      <c r="G2596" s="41">
        <f>SUM(G2597:G2598)</f>
        <v>6120000</v>
      </c>
      <c r="H2596" s="52"/>
    </row>
    <row r="2597" spans="1:771 1026:1795 2050:2819 3074:3843 4098:4867 5122:5891 6146:6915 7170:7939 8194:8963 9218:9987 10242:11011 11266:12035 12290:13059 13314:14083 14338:15107 15362:16131" x14ac:dyDescent="0.3">
      <c r="A2597" s="36"/>
      <c r="B2597" s="46"/>
      <c r="C2597" s="50" t="s">
        <v>24</v>
      </c>
      <c r="D2597" s="39" t="s">
        <v>25</v>
      </c>
      <c r="E2597" s="1">
        <f>2*30*6</f>
        <v>360</v>
      </c>
      <c r="F2597" s="2">
        <v>17000</v>
      </c>
      <c r="G2597" s="40">
        <f>E2597*F2597</f>
        <v>6120000</v>
      </c>
      <c r="H2597" s="42"/>
    </row>
    <row r="2598" spans="1:771 1026:1795 2050:2819 3074:3843 4098:4867 5122:5891 6146:6915 7170:7939 8194:8963 9218:9987 10242:11011 11266:12035 12290:13059 13314:14083 14338:15107 15362:16131" s="35" customFormat="1" ht="65.400000000000006" thickBot="1" x14ac:dyDescent="0.35">
      <c r="A2598" s="53"/>
      <c r="B2598" s="54"/>
      <c r="C2598" s="55" t="s">
        <v>2331</v>
      </c>
      <c r="D2598" s="56"/>
      <c r="E2598" s="5"/>
      <c r="F2598" s="6"/>
      <c r="G2598" s="57"/>
      <c r="H2598" s="58"/>
    </row>
    <row r="2599" spans="1:771 1026:1795 2050:2819 3074:3843 4098:4867 5122:5891 6146:6915 7170:7939 8194:8963 9218:9987 10242:11011 11266:12035 12290:13059 13314:14083 14338:15107 15362:16131" s="177" customFormat="1" ht="31.8" thickBot="1" x14ac:dyDescent="0.35">
      <c r="A2599" s="174"/>
      <c r="B2599" s="155" t="s">
        <v>26</v>
      </c>
      <c r="C2599" s="175"/>
      <c r="D2599" s="23"/>
      <c r="E2599" s="176"/>
      <c r="F2599" s="159"/>
      <c r="G2599" s="159">
        <f>SUM(G2586:G2598)/2</f>
        <v>331250522</v>
      </c>
      <c r="H2599" s="160"/>
      <c r="IX2599" s="173"/>
      <c r="IY2599" s="173"/>
      <c r="ST2599" s="173"/>
      <c r="SU2599" s="173"/>
      <c r="ACP2599" s="173"/>
      <c r="ACQ2599" s="173"/>
      <c r="AML2599" s="173"/>
      <c r="AMM2599" s="173"/>
      <c r="AWH2599" s="173"/>
      <c r="AWI2599" s="173"/>
      <c r="BGD2599" s="173"/>
      <c r="BGE2599" s="173"/>
      <c r="BPZ2599" s="173"/>
      <c r="BQA2599" s="173"/>
      <c r="BZV2599" s="173"/>
      <c r="BZW2599" s="173"/>
      <c r="CJR2599" s="173"/>
      <c r="CJS2599" s="173"/>
      <c r="CTN2599" s="173"/>
      <c r="CTO2599" s="173"/>
      <c r="DDJ2599" s="173"/>
      <c r="DDK2599" s="173"/>
      <c r="DNF2599" s="173"/>
      <c r="DNG2599" s="173"/>
      <c r="DXB2599" s="173"/>
      <c r="DXC2599" s="173"/>
      <c r="EGX2599" s="173"/>
      <c r="EGY2599" s="173"/>
      <c r="EQT2599" s="173"/>
      <c r="EQU2599" s="173"/>
      <c r="FAP2599" s="173"/>
      <c r="FAQ2599" s="173"/>
      <c r="FKL2599" s="173"/>
      <c r="FKM2599" s="173"/>
      <c r="FUH2599" s="173"/>
      <c r="FUI2599" s="173"/>
      <c r="GED2599" s="173"/>
      <c r="GEE2599" s="173"/>
      <c r="GNZ2599" s="173"/>
      <c r="GOA2599" s="173"/>
      <c r="GXV2599" s="173"/>
      <c r="GXW2599" s="173"/>
      <c r="HHR2599" s="173"/>
      <c r="HHS2599" s="173"/>
      <c r="HRN2599" s="173"/>
      <c r="HRO2599" s="173"/>
      <c r="IBJ2599" s="173"/>
      <c r="IBK2599" s="173"/>
      <c r="ILF2599" s="173"/>
      <c r="ILG2599" s="173"/>
      <c r="IVB2599" s="173"/>
      <c r="IVC2599" s="173"/>
      <c r="JEX2599" s="173"/>
      <c r="JEY2599" s="173"/>
      <c r="JOT2599" s="173"/>
      <c r="JOU2599" s="173"/>
      <c r="JYP2599" s="173"/>
      <c r="JYQ2599" s="173"/>
      <c r="KIL2599" s="173"/>
      <c r="KIM2599" s="173"/>
      <c r="KSH2599" s="173"/>
      <c r="KSI2599" s="173"/>
      <c r="LCD2599" s="173"/>
      <c r="LCE2599" s="173"/>
      <c r="LLZ2599" s="173"/>
      <c r="LMA2599" s="173"/>
      <c r="LVV2599" s="173"/>
      <c r="LVW2599" s="173"/>
      <c r="MFR2599" s="173"/>
      <c r="MFS2599" s="173"/>
      <c r="MPN2599" s="173"/>
      <c r="MPO2599" s="173"/>
      <c r="MZJ2599" s="173"/>
      <c r="MZK2599" s="173"/>
      <c r="NJF2599" s="173"/>
      <c r="NJG2599" s="173"/>
      <c r="NTB2599" s="173"/>
      <c r="NTC2599" s="173"/>
      <c r="OCX2599" s="173"/>
      <c r="OCY2599" s="173"/>
      <c r="OMT2599" s="173"/>
      <c r="OMU2599" s="173"/>
      <c r="OWP2599" s="173"/>
      <c r="OWQ2599" s="173"/>
      <c r="PGL2599" s="173"/>
      <c r="PGM2599" s="173"/>
      <c r="PQH2599" s="173"/>
      <c r="PQI2599" s="173"/>
      <c r="QAD2599" s="173"/>
      <c r="QAE2599" s="173"/>
      <c r="QJZ2599" s="173"/>
      <c r="QKA2599" s="173"/>
      <c r="QTV2599" s="173"/>
      <c r="QTW2599" s="173"/>
      <c r="RDR2599" s="173"/>
      <c r="RDS2599" s="173"/>
      <c r="RNN2599" s="173"/>
      <c r="RNO2599" s="173"/>
      <c r="RXJ2599" s="173"/>
      <c r="RXK2599" s="173"/>
      <c r="SHF2599" s="173"/>
      <c r="SHG2599" s="173"/>
      <c r="SRB2599" s="173"/>
      <c r="SRC2599" s="173"/>
      <c r="TAX2599" s="173"/>
      <c r="TAY2599" s="173"/>
      <c r="TKT2599" s="173"/>
      <c r="TKU2599" s="173"/>
      <c r="TUP2599" s="173"/>
      <c r="TUQ2599" s="173"/>
      <c r="UEL2599" s="173"/>
      <c r="UEM2599" s="173"/>
      <c r="UOH2599" s="173"/>
      <c r="UOI2599" s="173"/>
      <c r="UYD2599" s="173"/>
      <c r="UYE2599" s="173"/>
      <c r="VHZ2599" s="173"/>
      <c r="VIA2599" s="173"/>
      <c r="VRV2599" s="173"/>
      <c r="VRW2599" s="173"/>
      <c r="WBR2599" s="173"/>
      <c r="WBS2599" s="173"/>
      <c r="WLN2599" s="173"/>
      <c r="WLO2599" s="173"/>
      <c r="WVJ2599" s="173"/>
      <c r="WVK2599" s="173"/>
    </row>
    <row r="2600" spans="1:771 1026:1795 2050:2819 3074:3843 4098:4867 5122:5891 6146:6915 7170:7939 8194:8963 9218:9987 10242:11011 11266:12035 12290:13059 13314:14083 14338:15107 15362:16131" ht="55.2" x14ac:dyDescent="0.3">
      <c r="A2600" s="164">
        <v>242</v>
      </c>
      <c r="B2600" s="29" t="s">
        <v>1950</v>
      </c>
      <c r="C2600" s="30" t="s">
        <v>1951</v>
      </c>
      <c r="D2600" s="31" t="s">
        <v>13</v>
      </c>
      <c r="E2600" s="32">
        <v>7.6</v>
      </c>
      <c r="F2600" s="33"/>
      <c r="G2600" s="33"/>
      <c r="H2600" s="34" t="s">
        <v>1952</v>
      </c>
    </row>
    <row r="2601" spans="1:771 1026:1795 2050:2819 3074:3843 4098:4867 5122:5891 6146:6915 7170:7939 8194:8963 9218:9987 10242:11011 11266:12035 12290:13059 13314:14083 14338:15107 15362:16131" x14ac:dyDescent="0.3">
      <c r="A2601" s="167"/>
      <c r="B2601" s="37" t="s">
        <v>1953</v>
      </c>
      <c r="C2601" s="38" t="s">
        <v>14</v>
      </c>
      <c r="D2601" s="39"/>
      <c r="E2601" s="44"/>
      <c r="F2601" s="40"/>
      <c r="G2601" s="41">
        <f>SUM(G2602)</f>
        <v>148040400</v>
      </c>
      <c r="H2601" s="42"/>
    </row>
    <row r="2602" spans="1:771 1026:1795 2050:2819 3074:3843 4098:4867 5122:5891 6146:6915 7170:7939 8194:8963 9218:9987 10242:11011 11266:12035 12290:13059 13314:14083 14338:15107 15362:16131" ht="18.600000000000001" x14ac:dyDescent="0.3">
      <c r="A2602" s="167"/>
      <c r="B2602" s="37" t="s">
        <v>1954</v>
      </c>
      <c r="C2602" s="48" t="s">
        <v>38</v>
      </c>
      <c r="D2602" s="39" t="s">
        <v>13</v>
      </c>
      <c r="E2602" s="44">
        <v>7.6</v>
      </c>
      <c r="F2602" s="161">
        <v>19479000</v>
      </c>
      <c r="G2602" s="40">
        <f>E2602*F2602</f>
        <v>148040400</v>
      </c>
      <c r="H2602" s="52"/>
    </row>
    <row r="2603" spans="1:771 1026:1795 2050:2819 3074:3843 4098:4867 5122:5891 6146:6915 7170:7939 8194:8963 9218:9987 10242:11011 11266:12035 12290:13059 13314:14083 14338:15107 15362:16131" ht="62.4" x14ac:dyDescent="0.3">
      <c r="A2603" s="167"/>
      <c r="B2603" s="46" t="s">
        <v>1955</v>
      </c>
      <c r="C2603" s="47" t="s">
        <v>35</v>
      </c>
      <c r="D2603" s="39"/>
      <c r="E2603" s="44"/>
      <c r="F2603" s="40"/>
      <c r="G2603" s="41">
        <f>SUM(G2604:G2607)</f>
        <v>4283425.2</v>
      </c>
      <c r="H2603" s="42"/>
    </row>
    <row r="2604" spans="1:771 1026:1795 2050:2819 3074:3843 4098:4867 5122:5891 6146:6915 7170:7939 8194:8963 9218:9987 10242:11011 11266:12035 12290:13059 13314:14083 14338:15107 15362:16131" ht="93.6" x14ac:dyDescent="0.3">
      <c r="A2604" s="167"/>
      <c r="B2604" s="46" t="s">
        <v>1956</v>
      </c>
      <c r="C2604" s="86" t="s">
        <v>1957</v>
      </c>
      <c r="D2604" s="39" t="s">
        <v>13</v>
      </c>
      <c r="E2604" s="44">
        <f>((1.26+0.3)*3.8)/2</f>
        <v>2.964</v>
      </c>
      <c r="F2604" s="40">
        <f>3592000*40%</f>
        <v>1436800</v>
      </c>
      <c r="G2604" s="40">
        <f>E2604*F2604</f>
        <v>4258675.2</v>
      </c>
      <c r="H2604" s="42" t="s">
        <v>2588</v>
      </c>
    </row>
    <row r="2605" spans="1:771 1026:1795 2050:2819 3074:3843 4098:4867 5122:5891 6146:6915 7170:7939 8194:8963 9218:9987 10242:11011 11266:12035 12290:13059 13314:14083 14338:15107 15362:16131" ht="31.2" x14ac:dyDescent="0.3">
      <c r="A2605" s="167"/>
      <c r="B2605" s="46"/>
      <c r="C2605" s="86" t="s">
        <v>1958</v>
      </c>
      <c r="D2605" s="39" t="s">
        <v>13</v>
      </c>
      <c r="E2605" s="44">
        <f>((0.65+1.7)*3.8)/2</f>
        <v>4.4649999999999999</v>
      </c>
      <c r="F2605" s="40"/>
      <c r="G2605" s="40">
        <f>E2605*F2605</f>
        <v>0</v>
      </c>
      <c r="H2605" s="111" t="s">
        <v>2453</v>
      </c>
    </row>
    <row r="2606" spans="1:771 1026:1795 2050:2819 3074:3843 4098:4867 5122:5891 6146:6915 7170:7939 8194:8963 9218:9987 10242:11011 11266:12035 12290:13059 13314:14083 14338:15107 15362:16131" x14ac:dyDescent="0.3">
      <c r="A2606" s="167"/>
      <c r="B2606" s="46"/>
      <c r="C2606" s="86" t="s">
        <v>816</v>
      </c>
      <c r="D2606" s="39" t="s">
        <v>19</v>
      </c>
      <c r="E2606" s="44">
        <v>3</v>
      </c>
      <c r="F2606" s="74">
        <f>33000/4</f>
        <v>8250</v>
      </c>
      <c r="G2606" s="40">
        <f>E2606*F2606</f>
        <v>24750</v>
      </c>
      <c r="H2606" s="42"/>
    </row>
    <row r="2607" spans="1:771 1026:1795 2050:2819 3074:3843 4098:4867 5122:5891 6146:6915 7170:7939 8194:8963 9218:9987 10242:11011 11266:12035 12290:13059 13314:14083 14338:15107 15362:16131" s="35" customFormat="1" ht="65.400000000000006" thickBot="1" x14ac:dyDescent="0.35">
      <c r="A2607" s="53"/>
      <c r="B2607" s="54"/>
      <c r="C2607" s="55" t="s">
        <v>2331</v>
      </c>
      <c r="D2607" s="56"/>
      <c r="E2607" s="5"/>
      <c r="F2607" s="6"/>
      <c r="G2607" s="57"/>
      <c r="H2607" s="58"/>
    </row>
    <row r="2608" spans="1:771 1026:1795 2050:2819 3074:3843 4098:4867 5122:5891 6146:6915 7170:7939 8194:8963 9218:9987 10242:11011 11266:12035 12290:13059 13314:14083 14338:15107 15362:16131" s="177" customFormat="1" ht="31.8" thickBot="1" x14ac:dyDescent="0.35">
      <c r="A2608" s="174"/>
      <c r="B2608" s="155" t="s">
        <v>26</v>
      </c>
      <c r="C2608" s="175"/>
      <c r="D2608" s="23"/>
      <c r="E2608" s="176"/>
      <c r="F2608" s="159"/>
      <c r="G2608" s="159">
        <f>SUM(G2600:G2607)/2</f>
        <v>152323825.19999999</v>
      </c>
      <c r="H2608" s="160"/>
      <c r="IX2608" s="173"/>
      <c r="IY2608" s="173"/>
      <c r="ST2608" s="173"/>
      <c r="SU2608" s="173"/>
      <c r="ACP2608" s="173"/>
      <c r="ACQ2608" s="173"/>
      <c r="AML2608" s="173"/>
      <c r="AMM2608" s="173"/>
      <c r="AWH2608" s="173"/>
      <c r="AWI2608" s="173"/>
      <c r="BGD2608" s="173"/>
      <c r="BGE2608" s="173"/>
      <c r="BPZ2608" s="173"/>
      <c r="BQA2608" s="173"/>
      <c r="BZV2608" s="173"/>
      <c r="BZW2608" s="173"/>
      <c r="CJR2608" s="173"/>
      <c r="CJS2608" s="173"/>
      <c r="CTN2608" s="173"/>
      <c r="CTO2608" s="173"/>
      <c r="DDJ2608" s="173"/>
      <c r="DDK2608" s="173"/>
      <c r="DNF2608" s="173"/>
      <c r="DNG2608" s="173"/>
      <c r="DXB2608" s="173"/>
      <c r="DXC2608" s="173"/>
      <c r="EGX2608" s="173"/>
      <c r="EGY2608" s="173"/>
      <c r="EQT2608" s="173"/>
      <c r="EQU2608" s="173"/>
      <c r="FAP2608" s="173"/>
      <c r="FAQ2608" s="173"/>
      <c r="FKL2608" s="173"/>
      <c r="FKM2608" s="173"/>
      <c r="FUH2608" s="173"/>
      <c r="FUI2608" s="173"/>
      <c r="GED2608" s="173"/>
      <c r="GEE2608" s="173"/>
      <c r="GNZ2608" s="173"/>
      <c r="GOA2608" s="173"/>
      <c r="GXV2608" s="173"/>
      <c r="GXW2608" s="173"/>
      <c r="HHR2608" s="173"/>
      <c r="HHS2608" s="173"/>
      <c r="HRN2608" s="173"/>
      <c r="HRO2608" s="173"/>
      <c r="IBJ2608" s="173"/>
      <c r="IBK2608" s="173"/>
      <c r="ILF2608" s="173"/>
      <c r="ILG2608" s="173"/>
      <c r="IVB2608" s="173"/>
      <c r="IVC2608" s="173"/>
      <c r="JEX2608" s="173"/>
      <c r="JEY2608" s="173"/>
      <c r="JOT2608" s="173"/>
      <c r="JOU2608" s="173"/>
      <c r="JYP2608" s="173"/>
      <c r="JYQ2608" s="173"/>
      <c r="KIL2608" s="173"/>
      <c r="KIM2608" s="173"/>
      <c r="KSH2608" s="173"/>
      <c r="KSI2608" s="173"/>
      <c r="LCD2608" s="173"/>
      <c r="LCE2608" s="173"/>
      <c r="LLZ2608" s="173"/>
      <c r="LMA2608" s="173"/>
      <c r="LVV2608" s="173"/>
      <c r="LVW2608" s="173"/>
      <c r="MFR2608" s="173"/>
      <c r="MFS2608" s="173"/>
      <c r="MPN2608" s="173"/>
      <c r="MPO2608" s="173"/>
      <c r="MZJ2608" s="173"/>
      <c r="MZK2608" s="173"/>
      <c r="NJF2608" s="173"/>
      <c r="NJG2608" s="173"/>
      <c r="NTB2608" s="173"/>
      <c r="NTC2608" s="173"/>
      <c r="OCX2608" s="173"/>
      <c r="OCY2608" s="173"/>
      <c r="OMT2608" s="173"/>
      <c r="OMU2608" s="173"/>
      <c r="OWP2608" s="173"/>
      <c r="OWQ2608" s="173"/>
      <c r="PGL2608" s="173"/>
      <c r="PGM2608" s="173"/>
      <c r="PQH2608" s="173"/>
      <c r="PQI2608" s="173"/>
      <c r="QAD2608" s="173"/>
      <c r="QAE2608" s="173"/>
      <c r="QJZ2608" s="173"/>
      <c r="QKA2608" s="173"/>
      <c r="QTV2608" s="173"/>
      <c r="QTW2608" s="173"/>
      <c r="RDR2608" s="173"/>
      <c r="RDS2608" s="173"/>
      <c r="RNN2608" s="173"/>
      <c r="RNO2608" s="173"/>
      <c r="RXJ2608" s="173"/>
      <c r="RXK2608" s="173"/>
      <c r="SHF2608" s="173"/>
      <c r="SHG2608" s="173"/>
      <c r="SRB2608" s="173"/>
      <c r="SRC2608" s="173"/>
      <c r="TAX2608" s="173"/>
      <c r="TAY2608" s="173"/>
      <c r="TKT2608" s="173"/>
      <c r="TKU2608" s="173"/>
      <c r="TUP2608" s="173"/>
      <c r="TUQ2608" s="173"/>
      <c r="UEL2608" s="173"/>
      <c r="UEM2608" s="173"/>
      <c r="UOH2608" s="173"/>
      <c r="UOI2608" s="173"/>
      <c r="UYD2608" s="173"/>
      <c r="UYE2608" s="173"/>
      <c r="VHZ2608" s="173"/>
      <c r="VIA2608" s="173"/>
      <c r="VRV2608" s="173"/>
      <c r="VRW2608" s="173"/>
      <c r="WBR2608" s="173"/>
      <c r="WBS2608" s="173"/>
      <c r="WLN2608" s="173"/>
      <c r="WLO2608" s="173"/>
      <c r="WVJ2608" s="173"/>
      <c r="WVK2608" s="173"/>
    </row>
    <row r="2609" spans="1:771 1026:1795 2050:2819 3074:3843 4098:4867 5122:5891 6146:6915 7170:7939 8194:8963 9218:9987 10242:11011 11266:12035 12290:13059 13314:14083 14338:15107 15362:16131" ht="55.2" x14ac:dyDescent="0.3">
      <c r="A2609" s="164">
        <v>243</v>
      </c>
      <c r="B2609" s="29" t="s">
        <v>1959</v>
      </c>
      <c r="C2609" s="30" t="s">
        <v>1960</v>
      </c>
      <c r="D2609" s="31" t="s">
        <v>13</v>
      </c>
      <c r="E2609" s="32">
        <v>7.1</v>
      </c>
      <c r="F2609" s="33"/>
      <c r="G2609" s="33"/>
      <c r="H2609" s="34" t="s">
        <v>1961</v>
      </c>
    </row>
    <row r="2610" spans="1:771 1026:1795 2050:2819 3074:3843 4098:4867 5122:5891 6146:6915 7170:7939 8194:8963 9218:9987 10242:11011 11266:12035 12290:13059 13314:14083 14338:15107 15362:16131" ht="31.2" x14ac:dyDescent="0.3">
      <c r="A2610" s="167"/>
      <c r="B2610" s="37" t="s">
        <v>1962</v>
      </c>
      <c r="C2610" s="38" t="s">
        <v>14</v>
      </c>
      <c r="D2610" s="39"/>
      <c r="E2610" s="44"/>
      <c r="F2610" s="40"/>
      <c r="G2610" s="41">
        <f>SUM(G2611)</f>
        <v>138300900</v>
      </c>
      <c r="H2610" s="42"/>
    </row>
    <row r="2611" spans="1:771 1026:1795 2050:2819 3074:3843 4098:4867 5122:5891 6146:6915 7170:7939 8194:8963 9218:9987 10242:11011 11266:12035 12290:13059 13314:14083 14338:15107 15362:16131" ht="31.2" x14ac:dyDescent="0.3">
      <c r="A2611" s="167"/>
      <c r="B2611" s="37" t="s">
        <v>1963</v>
      </c>
      <c r="C2611" s="48" t="s">
        <v>38</v>
      </c>
      <c r="D2611" s="39" t="s">
        <v>13</v>
      </c>
      <c r="E2611" s="44">
        <v>7.1</v>
      </c>
      <c r="F2611" s="161">
        <v>19479000</v>
      </c>
      <c r="G2611" s="40">
        <f>E2611*F2611</f>
        <v>138300900</v>
      </c>
      <c r="H2611" s="52"/>
    </row>
    <row r="2612" spans="1:771 1026:1795 2050:2819 3074:3843 4098:4867 5122:5891 6146:6915 7170:7939 8194:8963 9218:9987 10242:11011 11266:12035 12290:13059 13314:14083 14338:15107 15362:16131" ht="62.4" x14ac:dyDescent="0.3">
      <c r="A2612" s="167"/>
      <c r="B2612" s="46" t="s">
        <v>1964</v>
      </c>
      <c r="C2612" s="47" t="s">
        <v>35</v>
      </c>
      <c r="D2612" s="39"/>
      <c r="E2612" s="44"/>
      <c r="F2612" s="40"/>
      <c r="G2612" s="41">
        <f>SUM(G2613:G2615)</f>
        <v>6071920.0000000009</v>
      </c>
      <c r="H2612" s="42"/>
    </row>
    <row r="2613" spans="1:771 1026:1795 2050:2819 3074:3843 4098:4867 5122:5891 6146:6915 7170:7939 8194:8963 9218:9987 10242:11011 11266:12035 12290:13059 13314:14083 14338:15107 15362:16131" ht="93.6" x14ac:dyDescent="0.3">
      <c r="A2613" s="167"/>
      <c r="B2613" s="46" t="s">
        <v>1965</v>
      </c>
      <c r="C2613" s="86" t="s">
        <v>1966</v>
      </c>
      <c r="D2613" s="39" t="s">
        <v>13</v>
      </c>
      <c r="E2613" s="44">
        <f>((1.35+0.35)*4)/2</f>
        <v>3.4000000000000004</v>
      </c>
      <c r="F2613" s="40">
        <f>3592000*40%</f>
        <v>1436800</v>
      </c>
      <c r="G2613" s="40">
        <f>E2613*F2613</f>
        <v>4885120.0000000009</v>
      </c>
      <c r="H2613" s="42" t="s">
        <v>2622</v>
      </c>
    </row>
    <row r="2614" spans="1:771 1026:1795 2050:2819 3074:3843 4098:4867 5122:5891 6146:6915 7170:7939 8194:8963 9218:9987 10242:11011 11266:12035 12290:13059 13314:14083 14338:15107 15362:16131" ht="18.600000000000001" x14ac:dyDescent="0.3">
      <c r="A2614" s="167"/>
      <c r="B2614" s="46"/>
      <c r="C2614" s="86" t="s">
        <v>469</v>
      </c>
      <c r="D2614" s="39" t="s">
        <v>13</v>
      </c>
      <c r="E2614" s="44">
        <f>((0.65+1.65)*4)/2</f>
        <v>4.5999999999999996</v>
      </c>
      <c r="F2614" s="74">
        <v>258000</v>
      </c>
      <c r="G2614" s="40">
        <f>E2614*F2614</f>
        <v>1186800</v>
      </c>
      <c r="H2614" s="42"/>
    </row>
    <row r="2615" spans="1:771 1026:1795 2050:2819 3074:3843 4098:4867 5122:5891 6146:6915 7170:7939 8194:8963 9218:9987 10242:11011 11266:12035 12290:13059 13314:14083 14338:15107 15362:16131" s="35" customFormat="1" ht="65.400000000000006" thickBot="1" x14ac:dyDescent="0.35">
      <c r="A2615" s="53"/>
      <c r="B2615" s="54"/>
      <c r="C2615" s="55" t="s">
        <v>2331</v>
      </c>
      <c r="D2615" s="56"/>
      <c r="E2615" s="5"/>
      <c r="F2615" s="6"/>
      <c r="G2615" s="57"/>
      <c r="H2615" s="58"/>
    </row>
    <row r="2616" spans="1:771 1026:1795 2050:2819 3074:3843 4098:4867 5122:5891 6146:6915 7170:7939 8194:8963 9218:9987 10242:11011 11266:12035 12290:13059 13314:14083 14338:15107 15362:16131" s="177" customFormat="1" ht="31.8" thickBot="1" x14ac:dyDescent="0.35">
      <c r="A2616" s="174"/>
      <c r="B2616" s="155" t="s">
        <v>26</v>
      </c>
      <c r="C2616" s="175"/>
      <c r="D2616" s="23"/>
      <c r="E2616" s="176"/>
      <c r="F2616" s="159"/>
      <c r="G2616" s="159">
        <f>SUM(G2609:G2615)/2</f>
        <v>144372820</v>
      </c>
      <c r="H2616" s="160"/>
      <c r="IX2616" s="173"/>
      <c r="IY2616" s="173"/>
      <c r="ST2616" s="173"/>
      <c r="SU2616" s="173"/>
      <c r="ACP2616" s="173"/>
      <c r="ACQ2616" s="173"/>
      <c r="AML2616" s="173"/>
      <c r="AMM2616" s="173"/>
      <c r="AWH2616" s="173"/>
      <c r="AWI2616" s="173"/>
      <c r="BGD2616" s="173"/>
      <c r="BGE2616" s="173"/>
      <c r="BPZ2616" s="173"/>
      <c r="BQA2616" s="173"/>
      <c r="BZV2616" s="173"/>
      <c r="BZW2616" s="173"/>
      <c r="CJR2616" s="173"/>
      <c r="CJS2616" s="173"/>
      <c r="CTN2616" s="173"/>
      <c r="CTO2616" s="173"/>
      <c r="DDJ2616" s="173"/>
      <c r="DDK2616" s="173"/>
      <c r="DNF2616" s="173"/>
      <c r="DNG2616" s="173"/>
      <c r="DXB2616" s="173"/>
      <c r="DXC2616" s="173"/>
      <c r="EGX2616" s="173"/>
      <c r="EGY2616" s="173"/>
      <c r="EQT2616" s="173"/>
      <c r="EQU2616" s="173"/>
      <c r="FAP2616" s="173"/>
      <c r="FAQ2616" s="173"/>
      <c r="FKL2616" s="173"/>
      <c r="FKM2616" s="173"/>
      <c r="FUH2616" s="173"/>
      <c r="FUI2616" s="173"/>
      <c r="GED2616" s="173"/>
      <c r="GEE2616" s="173"/>
      <c r="GNZ2616" s="173"/>
      <c r="GOA2616" s="173"/>
      <c r="GXV2616" s="173"/>
      <c r="GXW2616" s="173"/>
      <c r="HHR2616" s="173"/>
      <c r="HHS2616" s="173"/>
      <c r="HRN2616" s="173"/>
      <c r="HRO2616" s="173"/>
      <c r="IBJ2616" s="173"/>
      <c r="IBK2616" s="173"/>
      <c r="ILF2616" s="173"/>
      <c r="ILG2616" s="173"/>
      <c r="IVB2616" s="173"/>
      <c r="IVC2616" s="173"/>
      <c r="JEX2616" s="173"/>
      <c r="JEY2616" s="173"/>
      <c r="JOT2616" s="173"/>
      <c r="JOU2616" s="173"/>
      <c r="JYP2616" s="173"/>
      <c r="JYQ2616" s="173"/>
      <c r="KIL2616" s="173"/>
      <c r="KIM2616" s="173"/>
      <c r="KSH2616" s="173"/>
      <c r="KSI2616" s="173"/>
      <c r="LCD2616" s="173"/>
      <c r="LCE2616" s="173"/>
      <c r="LLZ2616" s="173"/>
      <c r="LMA2616" s="173"/>
      <c r="LVV2616" s="173"/>
      <c r="LVW2616" s="173"/>
      <c r="MFR2616" s="173"/>
      <c r="MFS2616" s="173"/>
      <c r="MPN2616" s="173"/>
      <c r="MPO2616" s="173"/>
      <c r="MZJ2616" s="173"/>
      <c r="MZK2616" s="173"/>
      <c r="NJF2616" s="173"/>
      <c r="NJG2616" s="173"/>
      <c r="NTB2616" s="173"/>
      <c r="NTC2616" s="173"/>
      <c r="OCX2616" s="173"/>
      <c r="OCY2616" s="173"/>
      <c r="OMT2616" s="173"/>
      <c r="OMU2616" s="173"/>
      <c r="OWP2616" s="173"/>
      <c r="OWQ2616" s="173"/>
      <c r="PGL2616" s="173"/>
      <c r="PGM2616" s="173"/>
      <c r="PQH2616" s="173"/>
      <c r="PQI2616" s="173"/>
      <c r="QAD2616" s="173"/>
      <c r="QAE2616" s="173"/>
      <c r="QJZ2616" s="173"/>
      <c r="QKA2616" s="173"/>
      <c r="QTV2616" s="173"/>
      <c r="QTW2616" s="173"/>
      <c r="RDR2616" s="173"/>
      <c r="RDS2616" s="173"/>
      <c r="RNN2616" s="173"/>
      <c r="RNO2616" s="173"/>
      <c r="RXJ2616" s="173"/>
      <c r="RXK2616" s="173"/>
      <c r="SHF2616" s="173"/>
      <c r="SHG2616" s="173"/>
      <c r="SRB2616" s="173"/>
      <c r="SRC2616" s="173"/>
      <c r="TAX2616" s="173"/>
      <c r="TAY2616" s="173"/>
      <c r="TKT2616" s="173"/>
      <c r="TKU2616" s="173"/>
      <c r="TUP2616" s="173"/>
      <c r="TUQ2616" s="173"/>
      <c r="UEL2616" s="173"/>
      <c r="UEM2616" s="173"/>
      <c r="UOH2616" s="173"/>
      <c r="UOI2616" s="173"/>
      <c r="UYD2616" s="173"/>
      <c r="UYE2616" s="173"/>
      <c r="VHZ2616" s="173"/>
      <c r="VIA2616" s="173"/>
      <c r="VRV2616" s="173"/>
      <c r="VRW2616" s="173"/>
      <c r="WBR2616" s="173"/>
      <c r="WBS2616" s="173"/>
      <c r="WLN2616" s="173"/>
      <c r="WLO2616" s="173"/>
      <c r="WVJ2616" s="173"/>
      <c r="WVK2616" s="173"/>
    </row>
    <row r="2617" spans="1:771 1026:1795 2050:2819 3074:3843 4098:4867 5122:5891 6146:6915 7170:7939 8194:8963 9218:9987 10242:11011 11266:12035 12290:13059 13314:14083 14338:15107 15362:16131" ht="55.2" x14ac:dyDescent="0.3">
      <c r="A2617" s="164">
        <v>244</v>
      </c>
      <c r="B2617" s="29" t="s">
        <v>1967</v>
      </c>
      <c r="C2617" s="30" t="s">
        <v>1968</v>
      </c>
      <c r="D2617" s="31" t="s">
        <v>13</v>
      </c>
      <c r="E2617" s="32">
        <v>12.2</v>
      </c>
      <c r="F2617" s="33"/>
      <c r="G2617" s="33"/>
      <c r="H2617" s="34" t="s">
        <v>1969</v>
      </c>
    </row>
    <row r="2618" spans="1:771 1026:1795 2050:2819 3074:3843 4098:4867 5122:5891 6146:6915 7170:7939 8194:8963 9218:9987 10242:11011 11266:12035 12290:13059 13314:14083 14338:15107 15362:16131" x14ac:dyDescent="0.3">
      <c r="A2618" s="167"/>
      <c r="B2618" s="37" t="s">
        <v>1783</v>
      </c>
      <c r="C2618" s="38" t="s">
        <v>14</v>
      </c>
      <c r="D2618" s="39"/>
      <c r="E2618" s="44"/>
      <c r="F2618" s="40"/>
      <c r="G2618" s="41">
        <f>SUM(G2619)</f>
        <v>237643800</v>
      </c>
      <c r="H2618" s="42"/>
    </row>
    <row r="2619" spans="1:771 1026:1795 2050:2819 3074:3843 4098:4867 5122:5891 6146:6915 7170:7939 8194:8963 9218:9987 10242:11011 11266:12035 12290:13059 13314:14083 14338:15107 15362:16131" ht="18.600000000000001" x14ac:dyDescent="0.3">
      <c r="A2619" s="167"/>
      <c r="B2619" s="37" t="s">
        <v>1970</v>
      </c>
      <c r="C2619" s="48" t="s">
        <v>38</v>
      </c>
      <c r="D2619" s="39" t="s">
        <v>13</v>
      </c>
      <c r="E2619" s="44">
        <v>12.2</v>
      </c>
      <c r="F2619" s="161">
        <v>19479000</v>
      </c>
      <c r="G2619" s="40">
        <f>E2619*F2619</f>
        <v>237643800</v>
      </c>
      <c r="H2619" s="52"/>
    </row>
    <row r="2620" spans="1:771 1026:1795 2050:2819 3074:3843 4098:4867 5122:5891 6146:6915 7170:7939 8194:8963 9218:9987 10242:11011 11266:12035 12290:13059 13314:14083 14338:15107 15362:16131" ht="78" x14ac:dyDescent="0.3">
      <c r="A2620" s="167"/>
      <c r="B2620" s="46" t="s">
        <v>1971</v>
      </c>
      <c r="C2620" s="47" t="s">
        <v>35</v>
      </c>
      <c r="D2620" s="39"/>
      <c r="E2620" s="44"/>
      <c r="F2620" s="40"/>
      <c r="G2620" s="41">
        <f>SUM(G2621:G2625)</f>
        <v>3730540</v>
      </c>
      <c r="H2620" s="42"/>
    </row>
    <row r="2621" spans="1:771 1026:1795 2050:2819 3074:3843 4098:4867 5122:5891 6146:6915 7170:7939 8194:8963 9218:9987 10242:11011 11266:12035 12290:13059 13314:14083 14338:15107 15362:16131" ht="41.4" x14ac:dyDescent="0.3">
      <c r="A2621" s="167"/>
      <c r="B2621" s="46" t="s">
        <v>1972</v>
      </c>
      <c r="C2621" s="86" t="s">
        <v>1973</v>
      </c>
      <c r="D2621" s="39" t="s">
        <v>13</v>
      </c>
      <c r="E2621" s="44">
        <f>6*2</f>
        <v>12</v>
      </c>
      <c r="F2621" s="40">
        <f>540000*40%</f>
        <v>216000</v>
      </c>
      <c r="G2621" s="40">
        <f>E2621*F2621</f>
        <v>2592000</v>
      </c>
      <c r="H2621" s="42" t="s">
        <v>2623</v>
      </c>
    </row>
    <row r="2622" spans="1:771 1026:1795 2050:2819 3074:3843 4098:4867 5122:5891 6146:6915 7170:7939 8194:8963 9218:9987 10242:11011 11266:12035 12290:13059 13314:14083 14338:15107 15362:16131" x14ac:dyDescent="0.3">
      <c r="A2622" s="167"/>
      <c r="B2622" s="46"/>
      <c r="C2622" s="86" t="s">
        <v>105</v>
      </c>
      <c r="D2622" s="39" t="s">
        <v>106</v>
      </c>
      <c r="E2622" s="44">
        <v>1</v>
      </c>
      <c r="F2622" s="40"/>
      <c r="G2622" s="40">
        <f>E2622*F2622</f>
        <v>0</v>
      </c>
      <c r="H2622" s="52" t="s">
        <v>2353</v>
      </c>
    </row>
    <row r="2623" spans="1:771 1026:1795 2050:2819 3074:3843 4098:4867 5122:5891 6146:6915 7170:7939 8194:8963 9218:9987 10242:11011 11266:12035 12290:13059 13314:14083 14338:15107 15362:16131" ht="18.600000000000001" x14ac:dyDescent="0.3">
      <c r="A2623" s="167"/>
      <c r="B2623" s="46"/>
      <c r="C2623" s="86" t="s">
        <v>189</v>
      </c>
      <c r="D2623" s="39" t="s">
        <v>1893</v>
      </c>
      <c r="E2623" s="44">
        <f>1.3*1.2*0.1</f>
        <v>0.15600000000000003</v>
      </c>
      <c r="F2623" s="40">
        <v>1421000</v>
      </c>
      <c r="G2623" s="40">
        <f>E2623*F2623</f>
        <v>221676.00000000003</v>
      </c>
      <c r="H2623" s="42"/>
    </row>
    <row r="2624" spans="1:771 1026:1795 2050:2819 3074:3843 4098:4867 5122:5891 6146:6915 7170:7939 8194:8963 9218:9987 10242:11011 11266:12035 12290:13059 13314:14083 14338:15107 15362:16131" ht="18.600000000000001" x14ac:dyDescent="0.3">
      <c r="A2624" s="167"/>
      <c r="B2624" s="46"/>
      <c r="C2624" s="86" t="s">
        <v>232</v>
      </c>
      <c r="D2624" s="39" t="s">
        <v>1893</v>
      </c>
      <c r="E2624" s="44">
        <f>0.4*0.4*1.9</f>
        <v>0.30400000000000005</v>
      </c>
      <c r="F2624" s="40">
        <v>1946000</v>
      </c>
      <c r="G2624" s="40">
        <f>E2624*F2624</f>
        <v>591584.00000000012</v>
      </c>
      <c r="H2624" s="42"/>
    </row>
    <row r="2625" spans="1:771 1026:1795 2050:2819 3074:3843 4098:4867 5122:5891 6146:6915 7170:7939 8194:8963 9218:9987 10242:11011 11266:12035 12290:13059 13314:14083 14338:15107 15362:16131" ht="18.600000000000001" x14ac:dyDescent="0.3">
      <c r="A2625" s="167"/>
      <c r="B2625" s="46"/>
      <c r="C2625" s="86" t="s">
        <v>1974</v>
      </c>
      <c r="D2625" s="39" t="s">
        <v>13</v>
      </c>
      <c r="E2625" s="44">
        <f>(0.4*1.9)*4</f>
        <v>3.04</v>
      </c>
      <c r="F2625" s="40">
        <v>107000</v>
      </c>
      <c r="G2625" s="40">
        <f>E2625*F2625</f>
        <v>325280</v>
      </c>
      <c r="H2625" s="42"/>
    </row>
    <row r="2626" spans="1:771 1026:1795 2050:2819 3074:3843 4098:4867 5122:5891 6146:6915 7170:7939 8194:8963 9218:9987 10242:11011 11266:12035 12290:13059 13314:14083 14338:15107 15362:16131" s="35" customFormat="1" ht="65.400000000000006" thickBot="1" x14ac:dyDescent="0.35">
      <c r="A2626" s="53"/>
      <c r="B2626" s="54"/>
      <c r="C2626" s="55" t="s">
        <v>2331</v>
      </c>
      <c r="D2626" s="56"/>
      <c r="E2626" s="5"/>
      <c r="F2626" s="6"/>
      <c r="G2626" s="57"/>
      <c r="H2626" s="58"/>
    </row>
    <row r="2627" spans="1:771 1026:1795 2050:2819 3074:3843 4098:4867 5122:5891 6146:6915 7170:7939 8194:8963 9218:9987 10242:11011 11266:12035 12290:13059 13314:14083 14338:15107 15362:16131" s="177" customFormat="1" ht="31.8" thickBot="1" x14ac:dyDescent="0.35">
      <c r="A2627" s="174"/>
      <c r="B2627" s="155" t="s">
        <v>26</v>
      </c>
      <c r="C2627" s="175"/>
      <c r="D2627" s="23"/>
      <c r="E2627" s="176"/>
      <c r="F2627" s="159"/>
      <c r="G2627" s="159">
        <f>SUM(G2617:G2626)/2</f>
        <v>241374340</v>
      </c>
      <c r="H2627" s="160"/>
      <c r="IX2627" s="173"/>
      <c r="IY2627" s="173"/>
      <c r="ST2627" s="173"/>
      <c r="SU2627" s="173"/>
      <c r="ACP2627" s="173"/>
      <c r="ACQ2627" s="173"/>
      <c r="AML2627" s="173"/>
      <c r="AMM2627" s="173"/>
      <c r="AWH2627" s="173"/>
      <c r="AWI2627" s="173"/>
      <c r="BGD2627" s="173"/>
      <c r="BGE2627" s="173"/>
      <c r="BPZ2627" s="173"/>
      <c r="BQA2627" s="173"/>
      <c r="BZV2627" s="173"/>
      <c r="BZW2627" s="173"/>
      <c r="CJR2627" s="173"/>
      <c r="CJS2627" s="173"/>
      <c r="CTN2627" s="173"/>
      <c r="CTO2627" s="173"/>
      <c r="DDJ2627" s="173"/>
      <c r="DDK2627" s="173"/>
      <c r="DNF2627" s="173"/>
      <c r="DNG2627" s="173"/>
      <c r="DXB2627" s="173"/>
      <c r="DXC2627" s="173"/>
      <c r="EGX2627" s="173"/>
      <c r="EGY2627" s="173"/>
      <c r="EQT2627" s="173"/>
      <c r="EQU2627" s="173"/>
      <c r="FAP2627" s="173"/>
      <c r="FAQ2627" s="173"/>
      <c r="FKL2627" s="173"/>
      <c r="FKM2627" s="173"/>
      <c r="FUH2627" s="173"/>
      <c r="FUI2627" s="173"/>
      <c r="GED2627" s="173"/>
      <c r="GEE2627" s="173"/>
      <c r="GNZ2627" s="173"/>
      <c r="GOA2627" s="173"/>
      <c r="GXV2627" s="173"/>
      <c r="GXW2627" s="173"/>
      <c r="HHR2627" s="173"/>
      <c r="HHS2627" s="173"/>
      <c r="HRN2627" s="173"/>
      <c r="HRO2627" s="173"/>
      <c r="IBJ2627" s="173"/>
      <c r="IBK2627" s="173"/>
      <c r="ILF2627" s="173"/>
      <c r="ILG2627" s="173"/>
      <c r="IVB2627" s="173"/>
      <c r="IVC2627" s="173"/>
      <c r="JEX2627" s="173"/>
      <c r="JEY2627" s="173"/>
      <c r="JOT2627" s="173"/>
      <c r="JOU2627" s="173"/>
      <c r="JYP2627" s="173"/>
      <c r="JYQ2627" s="173"/>
      <c r="KIL2627" s="173"/>
      <c r="KIM2627" s="173"/>
      <c r="KSH2627" s="173"/>
      <c r="KSI2627" s="173"/>
      <c r="LCD2627" s="173"/>
      <c r="LCE2627" s="173"/>
      <c r="LLZ2627" s="173"/>
      <c r="LMA2627" s="173"/>
      <c r="LVV2627" s="173"/>
      <c r="LVW2627" s="173"/>
      <c r="MFR2627" s="173"/>
      <c r="MFS2627" s="173"/>
      <c r="MPN2627" s="173"/>
      <c r="MPO2627" s="173"/>
      <c r="MZJ2627" s="173"/>
      <c r="MZK2627" s="173"/>
      <c r="NJF2627" s="173"/>
      <c r="NJG2627" s="173"/>
      <c r="NTB2627" s="173"/>
      <c r="NTC2627" s="173"/>
      <c r="OCX2627" s="173"/>
      <c r="OCY2627" s="173"/>
      <c r="OMT2627" s="173"/>
      <c r="OMU2627" s="173"/>
      <c r="OWP2627" s="173"/>
      <c r="OWQ2627" s="173"/>
      <c r="PGL2627" s="173"/>
      <c r="PGM2627" s="173"/>
      <c r="PQH2627" s="173"/>
      <c r="PQI2627" s="173"/>
      <c r="QAD2627" s="173"/>
      <c r="QAE2627" s="173"/>
      <c r="QJZ2627" s="173"/>
      <c r="QKA2627" s="173"/>
      <c r="QTV2627" s="173"/>
      <c r="QTW2627" s="173"/>
      <c r="RDR2627" s="173"/>
      <c r="RDS2627" s="173"/>
      <c r="RNN2627" s="173"/>
      <c r="RNO2627" s="173"/>
      <c r="RXJ2627" s="173"/>
      <c r="RXK2627" s="173"/>
      <c r="SHF2627" s="173"/>
      <c r="SHG2627" s="173"/>
      <c r="SRB2627" s="173"/>
      <c r="SRC2627" s="173"/>
      <c r="TAX2627" s="173"/>
      <c r="TAY2627" s="173"/>
      <c r="TKT2627" s="173"/>
      <c r="TKU2627" s="173"/>
      <c r="TUP2627" s="173"/>
      <c r="TUQ2627" s="173"/>
      <c r="UEL2627" s="173"/>
      <c r="UEM2627" s="173"/>
      <c r="UOH2627" s="173"/>
      <c r="UOI2627" s="173"/>
      <c r="UYD2627" s="173"/>
      <c r="UYE2627" s="173"/>
      <c r="VHZ2627" s="173"/>
      <c r="VIA2627" s="173"/>
      <c r="VRV2627" s="173"/>
      <c r="VRW2627" s="173"/>
      <c r="WBR2627" s="173"/>
      <c r="WBS2627" s="173"/>
      <c r="WLN2627" s="173"/>
      <c r="WLO2627" s="173"/>
      <c r="WVJ2627" s="173"/>
      <c r="WVK2627" s="173"/>
    </row>
    <row r="2628" spans="1:771 1026:1795 2050:2819 3074:3843 4098:4867 5122:5891 6146:6915 7170:7939 8194:8963 9218:9987 10242:11011 11266:12035 12290:13059 13314:14083 14338:15107 15362:16131" ht="55.2" x14ac:dyDescent="0.3">
      <c r="A2628" s="164">
        <v>245</v>
      </c>
      <c r="B2628" s="29" t="s">
        <v>1692</v>
      </c>
      <c r="C2628" s="30" t="s">
        <v>1975</v>
      </c>
      <c r="D2628" s="31" t="s">
        <v>13</v>
      </c>
      <c r="E2628" s="32">
        <v>12.3</v>
      </c>
      <c r="F2628" s="33"/>
      <c r="G2628" s="33"/>
      <c r="H2628" s="34" t="s">
        <v>1976</v>
      </c>
    </row>
    <row r="2629" spans="1:771 1026:1795 2050:2819 3074:3843 4098:4867 5122:5891 6146:6915 7170:7939 8194:8963 9218:9987 10242:11011 11266:12035 12290:13059 13314:14083 14338:15107 15362:16131" x14ac:dyDescent="0.3">
      <c r="A2629" s="167"/>
      <c r="B2629" s="37" t="s">
        <v>1858</v>
      </c>
      <c r="C2629" s="38" t="s">
        <v>14</v>
      </c>
      <c r="D2629" s="39"/>
      <c r="E2629" s="44"/>
      <c r="F2629" s="40"/>
      <c r="G2629" s="41">
        <f>SUM(G2630)</f>
        <v>239591700</v>
      </c>
      <c r="H2629" s="42"/>
    </row>
    <row r="2630" spans="1:771 1026:1795 2050:2819 3074:3843 4098:4867 5122:5891 6146:6915 7170:7939 8194:8963 9218:9987 10242:11011 11266:12035 12290:13059 13314:14083 14338:15107 15362:16131" ht="18.600000000000001" x14ac:dyDescent="0.3">
      <c r="A2630" s="167"/>
      <c r="B2630" s="37" t="s">
        <v>1977</v>
      </c>
      <c r="C2630" s="48" t="s">
        <v>38</v>
      </c>
      <c r="D2630" s="39" t="s">
        <v>13</v>
      </c>
      <c r="E2630" s="44">
        <v>12.3</v>
      </c>
      <c r="F2630" s="161">
        <v>19479000</v>
      </c>
      <c r="G2630" s="40">
        <f>E2630*F2630</f>
        <v>239591700</v>
      </c>
      <c r="H2630" s="52"/>
    </row>
    <row r="2631" spans="1:771 1026:1795 2050:2819 3074:3843 4098:4867 5122:5891 6146:6915 7170:7939 8194:8963 9218:9987 10242:11011 11266:12035 12290:13059 13314:14083 14338:15107 15362:16131" ht="78" x14ac:dyDescent="0.3">
      <c r="A2631" s="167"/>
      <c r="B2631" s="46" t="s">
        <v>1978</v>
      </c>
      <c r="C2631" s="47" t="s">
        <v>35</v>
      </c>
      <c r="D2631" s="39"/>
      <c r="E2631" s="44"/>
      <c r="F2631" s="40"/>
      <c r="G2631" s="41">
        <f>SUM(G2632:G2637)</f>
        <v>7749068.0000000009</v>
      </c>
      <c r="H2631" s="42"/>
    </row>
    <row r="2632" spans="1:771 1026:1795 2050:2819 3074:3843 4098:4867 5122:5891 6146:6915 7170:7939 8194:8963 9218:9987 10242:11011 11266:12035 12290:13059 13314:14083 14338:15107 15362:16131" ht="31.2" x14ac:dyDescent="0.3">
      <c r="A2632" s="167"/>
      <c r="B2632" s="46" t="s">
        <v>1979</v>
      </c>
      <c r="C2632" s="86" t="s">
        <v>1980</v>
      </c>
      <c r="D2632" s="39" t="s">
        <v>13</v>
      </c>
      <c r="E2632" s="44">
        <f>2.12*1.95</f>
        <v>4.1340000000000003</v>
      </c>
      <c r="F2632" s="40">
        <v>733000</v>
      </c>
      <c r="G2632" s="40">
        <f>E2632*F2632</f>
        <v>3030222.0000000005</v>
      </c>
      <c r="H2632" s="42" t="s">
        <v>2624</v>
      </c>
    </row>
    <row r="2633" spans="1:771 1026:1795 2050:2819 3074:3843 4098:4867 5122:5891 6146:6915 7170:7939 8194:8963 9218:9987 10242:11011 11266:12035 12290:13059 13314:14083 14338:15107 15362:16131" ht="18.600000000000001" x14ac:dyDescent="0.3">
      <c r="A2633" s="167"/>
      <c r="B2633" s="46"/>
      <c r="C2633" s="86" t="s">
        <v>1981</v>
      </c>
      <c r="D2633" s="39" t="s">
        <v>13</v>
      </c>
      <c r="E2633" s="44">
        <f>5.9*2.12</f>
        <v>12.508000000000001</v>
      </c>
      <c r="F2633" s="40">
        <v>140000</v>
      </c>
      <c r="G2633" s="40">
        <f>E2633*F2633</f>
        <v>1751120.0000000002</v>
      </c>
      <c r="H2633" s="42"/>
    </row>
    <row r="2634" spans="1:771 1026:1795 2050:2819 3074:3843 4098:4867 5122:5891 6146:6915 7170:7939 8194:8963 9218:9987 10242:11011 11266:12035 12290:13059 13314:14083 14338:15107 15362:16131" ht="18.600000000000001" x14ac:dyDescent="0.3">
      <c r="A2634" s="167"/>
      <c r="B2634" s="46"/>
      <c r="C2634" s="86" t="s">
        <v>187</v>
      </c>
      <c r="D2634" s="39" t="s">
        <v>1893</v>
      </c>
      <c r="E2634" s="44">
        <f>1.9*0.3*0.3</f>
        <v>0.17099999999999999</v>
      </c>
      <c r="F2634" s="40">
        <v>1946000</v>
      </c>
      <c r="G2634" s="40">
        <f>E2634*F2634</f>
        <v>332766</v>
      </c>
      <c r="H2634" s="42"/>
    </row>
    <row r="2635" spans="1:771 1026:1795 2050:2819 3074:3843 4098:4867 5122:5891 6146:6915 7170:7939 8194:8963 9218:9987 10242:11011 11266:12035 12290:13059 13314:14083 14338:15107 15362:16131" ht="18.600000000000001" x14ac:dyDescent="0.3">
      <c r="A2635" s="167"/>
      <c r="B2635" s="46"/>
      <c r="C2635" s="86" t="s">
        <v>188</v>
      </c>
      <c r="D2635" s="39" t="s">
        <v>13</v>
      </c>
      <c r="E2635" s="44">
        <f>(0.3*1.9)*4</f>
        <v>2.2799999999999998</v>
      </c>
      <c r="F2635" s="40">
        <v>107000</v>
      </c>
      <c r="G2635" s="40">
        <f>E2635*F2635</f>
        <v>243959.99999999997</v>
      </c>
      <c r="H2635" s="42"/>
    </row>
    <row r="2636" spans="1:771 1026:1795 2050:2819 3074:3843 4098:4867 5122:5891 6146:6915 7170:7939 8194:8963 9218:9987 10242:11011 11266:12035 12290:13059 13314:14083 14338:15107 15362:16131" ht="31.2" x14ac:dyDescent="0.3">
      <c r="A2636" s="167"/>
      <c r="B2636" s="46"/>
      <c r="C2636" s="86" t="s">
        <v>1982</v>
      </c>
      <c r="D2636" s="39" t="s">
        <v>106</v>
      </c>
      <c r="E2636" s="44">
        <v>1</v>
      </c>
      <c r="F2636" s="40">
        <f>391000+2000000</f>
        <v>2391000</v>
      </c>
      <c r="G2636" s="40">
        <f>E2636*F2636</f>
        <v>2391000</v>
      </c>
      <c r="H2636" s="42"/>
    </row>
    <row r="2637" spans="1:771 1026:1795 2050:2819 3074:3843 4098:4867 5122:5891 6146:6915 7170:7939 8194:8963 9218:9987 10242:11011 11266:12035 12290:13059 13314:14083 14338:15107 15362:16131" s="35" customFormat="1" ht="65.400000000000006" thickBot="1" x14ac:dyDescent="0.35">
      <c r="A2637" s="53"/>
      <c r="B2637" s="54"/>
      <c r="C2637" s="55" t="s">
        <v>2331</v>
      </c>
      <c r="D2637" s="56"/>
      <c r="E2637" s="5"/>
      <c r="F2637" s="6"/>
      <c r="G2637" s="57"/>
      <c r="H2637" s="58"/>
    </row>
    <row r="2638" spans="1:771 1026:1795 2050:2819 3074:3843 4098:4867 5122:5891 6146:6915 7170:7939 8194:8963 9218:9987 10242:11011 11266:12035 12290:13059 13314:14083 14338:15107 15362:16131" s="177" customFormat="1" ht="31.8" thickBot="1" x14ac:dyDescent="0.35">
      <c r="A2638" s="174"/>
      <c r="B2638" s="155" t="s">
        <v>26</v>
      </c>
      <c r="C2638" s="175"/>
      <c r="D2638" s="23"/>
      <c r="E2638" s="176"/>
      <c r="F2638" s="159"/>
      <c r="G2638" s="159">
        <f>SUM(G2628:G2637)/2</f>
        <v>247340768</v>
      </c>
      <c r="H2638" s="160"/>
      <c r="IX2638" s="173"/>
      <c r="IY2638" s="173"/>
      <c r="ST2638" s="173"/>
      <c r="SU2638" s="173"/>
      <c r="ACP2638" s="173"/>
      <c r="ACQ2638" s="173"/>
      <c r="AML2638" s="173"/>
      <c r="AMM2638" s="173"/>
      <c r="AWH2638" s="173"/>
      <c r="AWI2638" s="173"/>
      <c r="BGD2638" s="173"/>
      <c r="BGE2638" s="173"/>
      <c r="BPZ2638" s="173"/>
      <c r="BQA2638" s="173"/>
      <c r="BZV2638" s="173"/>
      <c r="BZW2638" s="173"/>
      <c r="CJR2638" s="173"/>
      <c r="CJS2638" s="173"/>
      <c r="CTN2638" s="173"/>
      <c r="CTO2638" s="173"/>
      <c r="DDJ2638" s="173"/>
      <c r="DDK2638" s="173"/>
      <c r="DNF2638" s="173"/>
      <c r="DNG2638" s="173"/>
      <c r="DXB2638" s="173"/>
      <c r="DXC2638" s="173"/>
      <c r="EGX2638" s="173"/>
      <c r="EGY2638" s="173"/>
      <c r="EQT2638" s="173"/>
      <c r="EQU2638" s="173"/>
      <c r="FAP2638" s="173"/>
      <c r="FAQ2638" s="173"/>
      <c r="FKL2638" s="173"/>
      <c r="FKM2638" s="173"/>
      <c r="FUH2638" s="173"/>
      <c r="FUI2638" s="173"/>
      <c r="GED2638" s="173"/>
      <c r="GEE2638" s="173"/>
      <c r="GNZ2638" s="173"/>
      <c r="GOA2638" s="173"/>
      <c r="GXV2638" s="173"/>
      <c r="GXW2638" s="173"/>
      <c r="HHR2638" s="173"/>
      <c r="HHS2638" s="173"/>
      <c r="HRN2638" s="173"/>
      <c r="HRO2638" s="173"/>
      <c r="IBJ2638" s="173"/>
      <c r="IBK2638" s="173"/>
      <c r="ILF2638" s="173"/>
      <c r="ILG2638" s="173"/>
      <c r="IVB2638" s="173"/>
      <c r="IVC2638" s="173"/>
      <c r="JEX2638" s="173"/>
      <c r="JEY2638" s="173"/>
      <c r="JOT2638" s="173"/>
      <c r="JOU2638" s="173"/>
      <c r="JYP2638" s="173"/>
      <c r="JYQ2638" s="173"/>
      <c r="KIL2638" s="173"/>
      <c r="KIM2638" s="173"/>
      <c r="KSH2638" s="173"/>
      <c r="KSI2638" s="173"/>
      <c r="LCD2638" s="173"/>
      <c r="LCE2638" s="173"/>
      <c r="LLZ2638" s="173"/>
      <c r="LMA2638" s="173"/>
      <c r="LVV2638" s="173"/>
      <c r="LVW2638" s="173"/>
      <c r="MFR2638" s="173"/>
      <c r="MFS2638" s="173"/>
      <c r="MPN2638" s="173"/>
      <c r="MPO2638" s="173"/>
      <c r="MZJ2638" s="173"/>
      <c r="MZK2638" s="173"/>
      <c r="NJF2638" s="173"/>
      <c r="NJG2638" s="173"/>
      <c r="NTB2638" s="173"/>
      <c r="NTC2638" s="173"/>
      <c r="OCX2638" s="173"/>
      <c r="OCY2638" s="173"/>
      <c r="OMT2638" s="173"/>
      <c r="OMU2638" s="173"/>
      <c r="OWP2638" s="173"/>
      <c r="OWQ2638" s="173"/>
      <c r="PGL2638" s="173"/>
      <c r="PGM2638" s="173"/>
      <c r="PQH2638" s="173"/>
      <c r="PQI2638" s="173"/>
      <c r="QAD2638" s="173"/>
      <c r="QAE2638" s="173"/>
      <c r="QJZ2638" s="173"/>
      <c r="QKA2638" s="173"/>
      <c r="QTV2638" s="173"/>
      <c r="QTW2638" s="173"/>
      <c r="RDR2638" s="173"/>
      <c r="RDS2638" s="173"/>
      <c r="RNN2638" s="173"/>
      <c r="RNO2638" s="173"/>
      <c r="RXJ2638" s="173"/>
      <c r="RXK2638" s="173"/>
      <c r="SHF2638" s="173"/>
      <c r="SHG2638" s="173"/>
      <c r="SRB2638" s="173"/>
      <c r="SRC2638" s="173"/>
      <c r="TAX2638" s="173"/>
      <c r="TAY2638" s="173"/>
      <c r="TKT2638" s="173"/>
      <c r="TKU2638" s="173"/>
      <c r="TUP2638" s="173"/>
      <c r="TUQ2638" s="173"/>
      <c r="UEL2638" s="173"/>
      <c r="UEM2638" s="173"/>
      <c r="UOH2638" s="173"/>
      <c r="UOI2638" s="173"/>
      <c r="UYD2638" s="173"/>
      <c r="UYE2638" s="173"/>
      <c r="VHZ2638" s="173"/>
      <c r="VIA2638" s="173"/>
      <c r="VRV2638" s="173"/>
      <c r="VRW2638" s="173"/>
      <c r="WBR2638" s="173"/>
      <c r="WBS2638" s="173"/>
      <c r="WLN2638" s="173"/>
      <c r="WLO2638" s="173"/>
      <c r="WVJ2638" s="173"/>
      <c r="WVK2638" s="173"/>
    </row>
    <row r="2639" spans="1:771 1026:1795 2050:2819 3074:3843 4098:4867 5122:5891 6146:6915 7170:7939 8194:8963 9218:9987 10242:11011 11266:12035 12290:13059 13314:14083 14338:15107 15362:16131" ht="55.2" x14ac:dyDescent="0.3">
      <c r="A2639" s="164">
        <v>246</v>
      </c>
      <c r="B2639" s="29" t="s">
        <v>1983</v>
      </c>
      <c r="C2639" s="30" t="s">
        <v>1984</v>
      </c>
      <c r="D2639" s="31" t="s">
        <v>13</v>
      </c>
      <c r="E2639" s="32">
        <v>7.9</v>
      </c>
      <c r="F2639" s="33"/>
      <c r="G2639" s="33"/>
      <c r="H2639" s="34" t="s">
        <v>1985</v>
      </c>
    </row>
    <row r="2640" spans="1:771 1026:1795 2050:2819 3074:3843 4098:4867 5122:5891 6146:6915 7170:7939 8194:8963 9218:9987 10242:11011 11266:12035 12290:13059 13314:14083 14338:15107 15362:16131" x14ac:dyDescent="0.3">
      <c r="A2640" s="167"/>
      <c r="B2640" s="37" t="s">
        <v>1986</v>
      </c>
      <c r="C2640" s="38" t="s">
        <v>14</v>
      </c>
      <c r="D2640" s="39"/>
      <c r="E2640" s="44"/>
      <c r="F2640" s="40"/>
      <c r="G2640" s="41">
        <f>SUM(G2641)</f>
        <v>153884100</v>
      </c>
      <c r="H2640" s="42"/>
    </row>
    <row r="2641" spans="1:771 1026:1795 2050:2819 3074:3843 4098:4867 5122:5891 6146:6915 7170:7939 8194:8963 9218:9987 10242:11011 11266:12035 12290:13059 13314:14083 14338:15107 15362:16131" ht="18.600000000000001" x14ac:dyDescent="0.3">
      <c r="A2641" s="167"/>
      <c r="B2641" s="37" t="s">
        <v>1987</v>
      </c>
      <c r="C2641" s="48" t="s">
        <v>38</v>
      </c>
      <c r="D2641" s="39" t="s">
        <v>13</v>
      </c>
      <c r="E2641" s="44">
        <v>7.9</v>
      </c>
      <c r="F2641" s="161">
        <v>19479000</v>
      </c>
      <c r="G2641" s="40">
        <f>E2641*F2641</f>
        <v>153884100</v>
      </c>
      <c r="H2641" s="52"/>
    </row>
    <row r="2642" spans="1:771 1026:1795 2050:2819 3074:3843 4098:4867 5122:5891 6146:6915 7170:7939 8194:8963 9218:9987 10242:11011 11266:12035 12290:13059 13314:14083 14338:15107 15362:16131" ht="78" x14ac:dyDescent="0.3">
      <c r="A2642" s="167"/>
      <c r="B2642" s="46" t="s">
        <v>1988</v>
      </c>
      <c r="C2642" s="47" t="s">
        <v>35</v>
      </c>
      <c r="D2642" s="39"/>
      <c r="E2642" s="44"/>
      <c r="F2642" s="40"/>
      <c r="G2642" s="41">
        <f>SUM(G2643)</f>
        <v>0</v>
      </c>
      <c r="H2642" s="42"/>
    </row>
    <row r="2643" spans="1:771 1026:1795 2050:2819 3074:3843 4098:4867 5122:5891 6146:6915 7170:7939 8194:8963 9218:9987 10242:11011 11266:12035 12290:13059 13314:14083 14338:15107 15362:16131" ht="55.2" x14ac:dyDescent="0.3">
      <c r="A2643" s="167"/>
      <c r="B2643" s="46" t="s">
        <v>1979</v>
      </c>
      <c r="C2643" s="86" t="s">
        <v>1989</v>
      </c>
      <c r="D2643" s="39" t="s">
        <v>13</v>
      </c>
      <c r="E2643" s="44">
        <f>2*4</f>
        <v>8</v>
      </c>
      <c r="F2643" s="40"/>
      <c r="G2643" s="40">
        <f>E2643*F2643</f>
        <v>0</v>
      </c>
      <c r="H2643" s="42" t="s">
        <v>2625</v>
      </c>
    </row>
    <row r="2644" spans="1:771 1026:1795 2050:2819 3074:3843 4098:4867 5122:5891 6146:6915 7170:7939 8194:8963 9218:9987 10242:11011 11266:12035 12290:13059 13314:14083 14338:15107 15362:16131" x14ac:dyDescent="0.3">
      <c r="A2644" s="167"/>
      <c r="B2644" s="46"/>
      <c r="C2644" s="129" t="s">
        <v>20</v>
      </c>
      <c r="D2644" s="39"/>
      <c r="E2644" s="44"/>
      <c r="F2644" s="40"/>
      <c r="G2644" s="41">
        <f>SUM(G2645)</f>
        <v>20000</v>
      </c>
      <c r="H2644" s="42"/>
    </row>
    <row r="2645" spans="1:771 1026:1795 2050:2819 3074:3843 4098:4867 5122:5891 6146:6915 7170:7939 8194:8963 9218:9987 10242:11011 11266:12035 12290:13059 13314:14083 14338:15107 15362:16131" x14ac:dyDescent="0.3">
      <c r="A2645" s="167"/>
      <c r="B2645" s="46"/>
      <c r="C2645" s="86" t="s">
        <v>197</v>
      </c>
      <c r="D2645" s="76" t="s">
        <v>22</v>
      </c>
      <c r="E2645" s="44">
        <v>1</v>
      </c>
      <c r="F2645" s="74">
        <v>20000</v>
      </c>
      <c r="G2645" s="40">
        <f>E2645*F2645</f>
        <v>20000</v>
      </c>
      <c r="H2645" s="42"/>
    </row>
    <row r="2646" spans="1:771 1026:1795 2050:2819 3074:3843 4098:4867 5122:5891 6146:6915 7170:7939 8194:8963 9218:9987 10242:11011 11266:12035 12290:13059 13314:14083 14338:15107 15362:16131" s="35" customFormat="1" ht="65.400000000000006" thickBot="1" x14ac:dyDescent="0.35">
      <c r="A2646" s="53"/>
      <c r="B2646" s="54"/>
      <c r="C2646" s="55" t="s">
        <v>2331</v>
      </c>
      <c r="D2646" s="56"/>
      <c r="E2646" s="5"/>
      <c r="F2646" s="6"/>
      <c r="G2646" s="57"/>
      <c r="H2646" s="58"/>
    </row>
    <row r="2647" spans="1:771 1026:1795 2050:2819 3074:3843 4098:4867 5122:5891 6146:6915 7170:7939 8194:8963 9218:9987 10242:11011 11266:12035 12290:13059 13314:14083 14338:15107 15362:16131" s="177" customFormat="1" ht="31.8" thickBot="1" x14ac:dyDescent="0.35">
      <c r="A2647" s="174"/>
      <c r="B2647" s="155" t="s">
        <v>26</v>
      </c>
      <c r="C2647" s="175"/>
      <c r="D2647" s="23"/>
      <c r="E2647" s="176"/>
      <c r="F2647" s="159"/>
      <c r="G2647" s="159">
        <f>SUM(G2639:G2646)/2</f>
        <v>153904100</v>
      </c>
      <c r="H2647" s="160"/>
      <c r="IX2647" s="173"/>
      <c r="IY2647" s="173"/>
      <c r="ST2647" s="173"/>
      <c r="SU2647" s="173"/>
      <c r="ACP2647" s="173"/>
      <c r="ACQ2647" s="173"/>
      <c r="AML2647" s="173"/>
      <c r="AMM2647" s="173"/>
      <c r="AWH2647" s="173"/>
      <c r="AWI2647" s="173"/>
      <c r="BGD2647" s="173"/>
      <c r="BGE2647" s="173"/>
      <c r="BPZ2647" s="173"/>
      <c r="BQA2647" s="173"/>
      <c r="BZV2647" s="173"/>
      <c r="BZW2647" s="173"/>
      <c r="CJR2647" s="173"/>
      <c r="CJS2647" s="173"/>
      <c r="CTN2647" s="173"/>
      <c r="CTO2647" s="173"/>
      <c r="DDJ2647" s="173"/>
      <c r="DDK2647" s="173"/>
      <c r="DNF2647" s="173"/>
      <c r="DNG2647" s="173"/>
      <c r="DXB2647" s="173"/>
      <c r="DXC2647" s="173"/>
      <c r="EGX2647" s="173"/>
      <c r="EGY2647" s="173"/>
      <c r="EQT2647" s="173"/>
      <c r="EQU2647" s="173"/>
      <c r="FAP2647" s="173"/>
      <c r="FAQ2647" s="173"/>
      <c r="FKL2647" s="173"/>
      <c r="FKM2647" s="173"/>
      <c r="FUH2647" s="173"/>
      <c r="FUI2647" s="173"/>
      <c r="GED2647" s="173"/>
      <c r="GEE2647" s="173"/>
      <c r="GNZ2647" s="173"/>
      <c r="GOA2647" s="173"/>
      <c r="GXV2647" s="173"/>
      <c r="GXW2647" s="173"/>
      <c r="HHR2647" s="173"/>
      <c r="HHS2647" s="173"/>
      <c r="HRN2647" s="173"/>
      <c r="HRO2647" s="173"/>
      <c r="IBJ2647" s="173"/>
      <c r="IBK2647" s="173"/>
      <c r="ILF2647" s="173"/>
      <c r="ILG2647" s="173"/>
      <c r="IVB2647" s="173"/>
      <c r="IVC2647" s="173"/>
      <c r="JEX2647" s="173"/>
      <c r="JEY2647" s="173"/>
      <c r="JOT2647" s="173"/>
      <c r="JOU2647" s="173"/>
      <c r="JYP2647" s="173"/>
      <c r="JYQ2647" s="173"/>
      <c r="KIL2647" s="173"/>
      <c r="KIM2647" s="173"/>
      <c r="KSH2647" s="173"/>
      <c r="KSI2647" s="173"/>
      <c r="LCD2647" s="173"/>
      <c r="LCE2647" s="173"/>
      <c r="LLZ2647" s="173"/>
      <c r="LMA2647" s="173"/>
      <c r="LVV2647" s="173"/>
      <c r="LVW2647" s="173"/>
      <c r="MFR2647" s="173"/>
      <c r="MFS2647" s="173"/>
      <c r="MPN2647" s="173"/>
      <c r="MPO2647" s="173"/>
      <c r="MZJ2647" s="173"/>
      <c r="MZK2647" s="173"/>
      <c r="NJF2647" s="173"/>
      <c r="NJG2647" s="173"/>
      <c r="NTB2647" s="173"/>
      <c r="NTC2647" s="173"/>
      <c r="OCX2647" s="173"/>
      <c r="OCY2647" s="173"/>
      <c r="OMT2647" s="173"/>
      <c r="OMU2647" s="173"/>
      <c r="OWP2647" s="173"/>
      <c r="OWQ2647" s="173"/>
      <c r="PGL2647" s="173"/>
      <c r="PGM2647" s="173"/>
      <c r="PQH2647" s="173"/>
      <c r="PQI2647" s="173"/>
      <c r="QAD2647" s="173"/>
      <c r="QAE2647" s="173"/>
      <c r="QJZ2647" s="173"/>
      <c r="QKA2647" s="173"/>
      <c r="QTV2647" s="173"/>
      <c r="QTW2647" s="173"/>
      <c r="RDR2647" s="173"/>
      <c r="RDS2647" s="173"/>
      <c r="RNN2647" s="173"/>
      <c r="RNO2647" s="173"/>
      <c r="RXJ2647" s="173"/>
      <c r="RXK2647" s="173"/>
      <c r="SHF2647" s="173"/>
      <c r="SHG2647" s="173"/>
      <c r="SRB2647" s="173"/>
      <c r="SRC2647" s="173"/>
      <c r="TAX2647" s="173"/>
      <c r="TAY2647" s="173"/>
      <c r="TKT2647" s="173"/>
      <c r="TKU2647" s="173"/>
      <c r="TUP2647" s="173"/>
      <c r="TUQ2647" s="173"/>
      <c r="UEL2647" s="173"/>
      <c r="UEM2647" s="173"/>
      <c r="UOH2647" s="173"/>
      <c r="UOI2647" s="173"/>
      <c r="UYD2647" s="173"/>
      <c r="UYE2647" s="173"/>
      <c r="VHZ2647" s="173"/>
      <c r="VIA2647" s="173"/>
      <c r="VRV2647" s="173"/>
      <c r="VRW2647" s="173"/>
      <c r="WBR2647" s="173"/>
      <c r="WBS2647" s="173"/>
      <c r="WLN2647" s="173"/>
      <c r="WLO2647" s="173"/>
      <c r="WVJ2647" s="173"/>
      <c r="WVK2647" s="173"/>
    </row>
    <row r="2648" spans="1:771 1026:1795 2050:2819 3074:3843 4098:4867 5122:5891 6146:6915 7170:7939 8194:8963 9218:9987 10242:11011 11266:12035 12290:13059 13314:14083 14338:15107 15362:16131" ht="55.2" x14ac:dyDescent="0.3">
      <c r="A2648" s="164">
        <v>247</v>
      </c>
      <c r="B2648" s="29" t="s">
        <v>1990</v>
      </c>
      <c r="C2648" s="30" t="s">
        <v>2257</v>
      </c>
      <c r="D2648" s="31" t="s">
        <v>13</v>
      </c>
      <c r="E2648" s="32">
        <v>15</v>
      </c>
      <c r="F2648" s="33"/>
      <c r="G2648" s="33"/>
      <c r="H2648" s="34" t="s">
        <v>1991</v>
      </c>
    </row>
    <row r="2649" spans="1:771 1026:1795 2050:2819 3074:3843 4098:4867 5122:5891 6146:6915 7170:7939 8194:8963 9218:9987 10242:11011 11266:12035 12290:13059 13314:14083 14338:15107 15362:16131" x14ac:dyDescent="0.3">
      <c r="A2649" s="167"/>
      <c r="B2649" s="37" t="s">
        <v>1802</v>
      </c>
      <c r="C2649" s="38" t="s">
        <v>14</v>
      </c>
      <c r="D2649" s="39"/>
      <c r="E2649" s="44"/>
      <c r="F2649" s="40"/>
      <c r="G2649" s="41">
        <f>SUM(G2650)</f>
        <v>292185000</v>
      </c>
      <c r="H2649" s="42"/>
    </row>
    <row r="2650" spans="1:771 1026:1795 2050:2819 3074:3843 4098:4867 5122:5891 6146:6915 7170:7939 8194:8963 9218:9987 10242:11011 11266:12035 12290:13059 13314:14083 14338:15107 15362:16131" ht="18.600000000000001" x14ac:dyDescent="0.3">
      <c r="A2650" s="167"/>
      <c r="B2650" s="37" t="s">
        <v>1992</v>
      </c>
      <c r="C2650" s="48" t="s">
        <v>38</v>
      </c>
      <c r="D2650" s="39" t="s">
        <v>13</v>
      </c>
      <c r="E2650" s="44">
        <v>15</v>
      </c>
      <c r="F2650" s="161">
        <v>19479000</v>
      </c>
      <c r="G2650" s="40">
        <f>E2650*F2650</f>
        <v>292185000</v>
      </c>
      <c r="H2650" s="52"/>
    </row>
    <row r="2651" spans="1:771 1026:1795 2050:2819 3074:3843 4098:4867 5122:5891 6146:6915 7170:7939 8194:8963 9218:9987 10242:11011 11266:12035 12290:13059 13314:14083 14338:15107 15362:16131" s="35" customFormat="1" ht="65.400000000000006" thickBot="1" x14ac:dyDescent="0.35">
      <c r="A2651" s="53"/>
      <c r="B2651" s="46" t="s">
        <v>1993</v>
      </c>
      <c r="C2651" s="55" t="s">
        <v>2331</v>
      </c>
      <c r="D2651" s="56"/>
      <c r="E2651" s="5"/>
      <c r="F2651" s="6"/>
      <c r="G2651" s="57"/>
      <c r="H2651" s="58"/>
    </row>
    <row r="2652" spans="1:771 1026:1795 2050:2819 3074:3843 4098:4867 5122:5891 6146:6915 7170:7939 8194:8963 9218:9987 10242:11011 11266:12035 12290:13059 13314:14083 14338:15107 15362:16131" s="177" customFormat="1" ht="31.8" thickBot="1" x14ac:dyDescent="0.35">
      <c r="A2652" s="174"/>
      <c r="B2652" s="155" t="s">
        <v>26</v>
      </c>
      <c r="C2652" s="175"/>
      <c r="D2652" s="23"/>
      <c r="E2652" s="176"/>
      <c r="F2652" s="159"/>
      <c r="G2652" s="159">
        <f>SUM(G2648:G2651)/2</f>
        <v>292185000</v>
      </c>
      <c r="H2652" s="160"/>
      <c r="IX2652" s="173"/>
      <c r="IY2652" s="173"/>
      <c r="ST2652" s="173"/>
      <c r="SU2652" s="173"/>
      <c r="ACP2652" s="173"/>
      <c r="ACQ2652" s="173"/>
      <c r="AML2652" s="173"/>
      <c r="AMM2652" s="173"/>
      <c r="AWH2652" s="173"/>
      <c r="AWI2652" s="173"/>
      <c r="BGD2652" s="173"/>
      <c r="BGE2652" s="173"/>
      <c r="BPZ2652" s="173"/>
      <c r="BQA2652" s="173"/>
      <c r="BZV2652" s="173"/>
      <c r="BZW2652" s="173"/>
      <c r="CJR2652" s="173"/>
      <c r="CJS2652" s="173"/>
      <c r="CTN2652" s="173"/>
      <c r="CTO2652" s="173"/>
      <c r="DDJ2652" s="173"/>
      <c r="DDK2652" s="173"/>
      <c r="DNF2652" s="173"/>
      <c r="DNG2652" s="173"/>
      <c r="DXB2652" s="173"/>
      <c r="DXC2652" s="173"/>
      <c r="EGX2652" s="173"/>
      <c r="EGY2652" s="173"/>
      <c r="EQT2652" s="173"/>
      <c r="EQU2652" s="173"/>
      <c r="FAP2652" s="173"/>
      <c r="FAQ2652" s="173"/>
      <c r="FKL2652" s="173"/>
      <c r="FKM2652" s="173"/>
      <c r="FUH2652" s="173"/>
      <c r="FUI2652" s="173"/>
      <c r="GED2652" s="173"/>
      <c r="GEE2652" s="173"/>
      <c r="GNZ2652" s="173"/>
      <c r="GOA2652" s="173"/>
      <c r="GXV2652" s="173"/>
      <c r="GXW2652" s="173"/>
      <c r="HHR2652" s="173"/>
      <c r="HHS2652" s="173"/>
      <c r="HRN2652" s="173"/>
      <c r="HRO2652" s="173"/>
      <c r="IBJ2652" s="173"/>
      <c r="IBK2652" s="173"/>
      <c r="ILF2652" s="173"/>
      <c r="ILG2652" s="173"/>
      <c r="IVB2652" s="173"/>
      <c r="IVC2652" s="173"/>
      <c r="JEX2652" s="173"/>
      <c r="JEY2652" s="173"/>
      <c r="JOT2652" s="173"/>
      <c r="JOU2652" s="173"/>
      <c r="JYP2652" s="173"/>
      <c r="JYQ2652" s="173"/>
      <c r="KIL2652" s="173"/>
      <c r="KIM2652" s="173"/>
      <c r="KSH2652" s="173"/>
      <c r="KSI2652" s="173"/>
      <c r="LCD2652" s="173"/>
      <c r="LCE2652" s="173"/>
      <c r="LLZ2652" s="173"/>
      <c r="LMA2652" s="173"/>
      <c r="LVV2652" s="173"/>
      <c r="LVW2652" s="173"/>
      <c r="MFR2652" s="173"/>
      <c r="MFS2652" s="173"/>
      <c r="MPN2652" s="173"/>
      <c r="MPO2652" s="173"/>
      <c r="MZJ2652" s="173"/>
      <c r="MZK2652" s="173"/>
      <c r="NJF2652" s="173"/>
      <c r="NJG2652" s="173"/>
      <c r="NTB2652" s="173"/>
      <c r="NTC2652" s="173"/>
      <c r="OCX2652" s="173"/>
      <c r="OCY2652" s="173"/>
      <c r="OMT2652" s="173"/>
      <c r="OMU2652" s="173"/>
      <c r="OWP2652" s="173"/>
      <c r="OWQ2652" s="173"/>
      <c r="PGL2652" s="173"/>
      <c r="PGM2652" s="173"/>
      <c r="PQH2652" s="173"/>
      <c r="PQI2652" s="173"/>
      <c r="QAD2652" s="173"/>
      <c r="QAE2652" s="173"/>
      <c r="QJZ2652" s="173"/>
      <c r="QKA2652" s="173"/>
      <c r="QTV2652" s="173"/>
      <c r="QTW2652" s="173"/>
      <c r="RDR2652" s="173"/>
      <c r="RDS2652" s="173"/>
      <c r="RNN2652" s="173"/>
      <c r="RNO2652" s="173"/>
      <c r="RXJ2652" s="173"/>
      <c r="RXK2652" s="173"/>
      <c r="SHF2652" s="173"/>
      <c r="SHG2652" s="173"/>
      <c r="SRB2652" s="173"/>
      <c r="SRC2652" s="173"/>
      <c r="TAX2652" s="173"/>
      <c r="TAY2652" s="173"/>
      <c r="TKT2652" s="173"/>
      <c r="TKU2652" s="173"/>
      <c r="TUP2652" s="173"/>
      <c r="TUQ2652" s="173"/>
      <c r="UEL2652" s="173"/>
      <c r="UEM2652" s="173"/>
      <c r="UOH2652" s="173"/>
      <c r="UOI2652" s="173"/>
      <c r="UYD2652" s="173"/>
      <c r="UYE2652" s="173"/>
      <c r="VHZ2652" s="173"/>
      <c r="VIA2652" s="173"/>
      <c r="VRV2652" s="173"/>
      <c r="VRW2652" s="173"/>
      <c r="WBR2652" s="173"/>
      <c r="WBS2652" s="173"/>
      <c r="WLN2652" s="173"/>
      <c r="WLO2652" s="173"/>
      <c r="WVJ2652" s="173"/>
      <c r="WVK2652" s="173"/>
    </row>
    <row r="2653" spans="1:771 1026:1795 2050:2819 3074:3843 4098:4867 5122:5891 6146:6915 7170:7939 8194:8963 9218:9987 10242:11011 11266:12035 12290:13059 13314:14083 14338:15107 15362:16131" ht="55.2" x14ac:dyDescent="0.3">
      <c r="A2653" s="164">
        <v>248</v>
      </c>
      <c r="B2653" s="29" t="s">
        <v>1998</v>
      </c>
      <c r="C2653" s="30" t="s">
        <v>1999</v>
      </c>
      <c r="D2653" s="31" t="s">
        <v>13</v>
      </c>
      <c r="E2653" s="32">
        <v>6.1</v>
      </c>
      <c r="F2653" s="33"/>
      <c r="G2653" s="33"/>
      <c r="H2653" s="34" t="s">
        <v>1985</v>
      </c>
    </row>
    <row r="2654" spans="1:771 1026:1795 2050:2819 3074:3843 4098:4867 5122:5891 6146:6915 7170:7939 8194:8963 9218:9987 10242:11011 11266:12035 12290:13059 13314:14083 14338:15107 15362:16131" x14ac:dyDescent="0.3">
      <c r="A2654" s="167"/>
      <c r="B2654" s="37" t="s">
        <v>2000</v>
      </c>
      <c r="C2654" s="38" t="s">
        <v>14</v>
      </c>
      <c r="D2654" s="39"/>
      <c r="E2654" s="44"/>
      <c r="F2654" s="40"/>
      <c r="G2654" s="41">
        <f>SUM(G2655)</f>
        <v>118821900</v>
      </c>
      <c r="H2654" s="42"/>
    </row>
    <row r="2655" spans="1:771 1026:1795 2050:2819 3074:3843 4098:4867 5122:5891 6146:6915 7170:7939 8194:8963 9218:9987 10242:11011 11266:12035 12290:13059 13314:14083 14338:15107 15362:16131" ht="18.600000000000001" x14ac:dyDescent="0.3">
      <c r="A2655" s="167"/>
      <c r="B2655" s="37" t="s">
        <v>2001</v>
      </c>
      <c r="C2655" s="48" t="s">
        <v>38</v>
      </c>
      <c r="D2655" s="39" t="s">
        <v>13</v>
      </c>
      <c r="E2655" s="44">
        <v>6.1</v>
      </c>
      <c r="F2655" s="161">
        <v>19479000</v>
      </c>
      <c r="G2655" s="40">
        <f>E2655*F2655</f>
        <v>118821900</v>
      </c>
      <c r="H2655" s="42"/>
    </row>
    <row r="2656" spans="1:771 1026:1795 2050:2819 3074:3843 4098:4867 5122:5891 6146:6915 7170:7939 8194:8963 9218:9987 10242:11011 11266:12035 12290:13059 13314:14083 14338:15107 15362:16131" ht="62.4" x14ac:dyDescent="0.3">
      <c r="A2656" s="167"/>
      <c r="B2656" s="37" t="s">
        <v>2002</v>
      </c>
      <c r="C2656" s="47" t="s">
        <v>35</v>
      </c>
      <c r="D2656" s="39"/>
      <c r="E2656" s="44"/>
      <c r="F2656" s="40"/>
      <c r="G2656" s="41">
        <f>SUM(G2657:G2658)</f>
        <v>21552000</v>
      </c>
      <c r="H2656" s="42"/>
    </row>
    <row r="2657" spans="1:771 1026:1795 2050:2819 3074:3843 4098:4867 5122:5891 6146:6915 7170:7939 8194:8963 9218:9987 10242:11011 11266:12035 12290:13059 13314:14083 14338:15107 15362:16131" ht="93.6" x14ac:dyDescent="0.3">
      <c r="A2657" s="170"/>
      <c r="B2657" s="130"/>
      <c r="C2657" s="131" t="s">
        <v>2003</v>
      </c>
      <c r="D2657" s="56" t="s">
        <v>13</v>
      </c>
      <c r="E2657" s="71">
        <f>2*3</f>
        <v>6</v>
      </c>
      <c r="F2657" s="57">
        <v>3592000</v>
      </c>
      <c r="G2657" s="57">
        <f>E2657*F2657</f>
        <v>21552000</v>
      </c>
      <c r="H2657" s="58" t="s">
        <v>2626</v>
      </c>
    </row>
    <row r="2658" spans="1:771 1026:1795 2050:2819 3074:3843 4098:4867 5122:5891 6146:6915 7170:7939 8194:8963 9218:9987 10242:11011 11266:12035 12290:13059 13314:14083 14338:15107 15362:16131" s="35" customFormat="1" ht="65.400000000000006" thickBot="1" x14ac:dyDescent="0.35">
      <c r="A2658" s="53"/>
      <c r="B2658" s="54"/>
      <c r="C2658" s="55" t="s">
        <v>2331</v>
      </c>
      <c r="D2658" s="56"/>
      <c r="E2658" s="5"/>
      <c r="F2658" s="6"/>
      <c r="G2658" s="57"/>
      <c r="H2658" s="58"/>
    </row>
    <row r="2659" spans="1:771 1026:1795 2050:2819 3074:3843 4098:4867 5122:5891 6146:6915 7170:7939 8194:8963 9218:9987 10242:11011 11266:12035 12290:13059 13314:14083 14338:15107 15362:16131" s="177" customFormat="1" ht="31.8" thickBot="1" x14ac:dyDescent="0.35">
      <c r="A2659" s="174"/>
      <c r="B2659" s="155" t="s">
        <v>26</v>
      </c>
      <c r="C2659" s="175"/>
      <c r="D2659" s="23"/>
      <c r="E2659" s="176"/>
      <c r="F2659" s="159"/>
      <c r="G2659" s="159">
        <f>SUM(G2653:G2658)/2</f>
        <v>140373900</v>
      </c>
      <c r="H2659" s="160"/>
      <c r="IX2659" s="173"/>
      <c r="IY2659" s="173"/>
      <c r="ST2659" s="173"/>
      <c r="SU2659" s="173"/>
      <c r="ACP2659" s="173"/>
      <c r="ACQ2659" s="173"/>
      <c r="AML2659" s="173"/>
      <c r="AMM2659" s="173"/>
      <c r="AWH2659" s="173"/>
      <c r="AWI2659" s="173"/>
      <c r="BGD2659" s="173"/>
      <c r="BGE2659" s="173"/>
      <c r="BPZ2659" s="173"/>
      <c r="BQA2659" s="173"/>
      <c r="BZV2659" s="173"/>
      <c r="BZW2659" s="173"/>
      <c r="CJR2659" s="173"/>
      <c r="CJS2659" s="173"/>
      <c r="CTN2659" s="173"/>
      <c r="CTO2659" s="173"/>
      <c r="DDJ2659" s="173"/>
      <c r="DDK2659" s="173"/>
      <c r="DNF2659" s="173"/>
      <c r="DNG2659" s="173"/>
      <c r="DXB2659" s="173"/>
      <c r="DXC2659" s="173"/>
      <c r="EGX2659" s="173"/>
      <c r="EGY2659" s="173"/>
      <c r="EQT2659" s="173"/>
      <c r="EQU2659" s="173"/>
      <c r="FAP2659" s="173"/>
      <c r="FAQ2659" s="173"/>
      <c r="FKL2659" s="173"/>
      <c r="FKM2659" s="173"/>
      <c r="FUH2659" s="173"/>
      <c r="FUI2659" s="173"/>
      <c r="GED2659" s="173"/>
      <c r="GEE2659" s="173"/>
      <c r="GNZ2659" s="173"/>
      <c r="GOA2659" s="173"/>
      <c r="GXV2659" s="173"/>
      <c r="GXW2659" s="173"/>
      <c r="HHR2659" s="173"/>
      <c r="HHS2659" s="173"/>
      <c r="HRN2659" s="173"/>
      <c r="HRO2659" s="173"/>
      <c r="IBJ2659" s="173"/>
      <c r="IBK2659" s="173"/>
      <c r="ILF2659" s="173"/>
      <c r="ILG2659" s="173"/>
      <c r="IVB2659" s="173"/>
      <c r="IVC2659" s="173"/>
      <c r="JEX2659" s="173"/>
      <c r="JEY2659" s="173"/>
      <c r="JOT2659" s="173"/>
      <c r="JOU2659" s="173"/>
      <c r="JYP2659" s="173"/>
      <c r="JYQ2659" s="173"/>
      <c r="KIL2659" s="173"/>
      <c r="KIM2659" s="173"/>
      <c r="KSH2659" s="173"/>
      <c r="KSI2659" s="173"/>
      <c r="LCD2659" s="173"/>
      <c r="LCE2659" s="173"/>
      <c r="LLZ2659" s="173"/>
      <c r="LMA2659" s="173"/>
      <c r="LVV2659" s="173"/>
      <c r="LVW2659" s="173"/>
      <c r="MFR2659" s="173"/>
      <c r="MFS2659" s="173"/>
      <c r="MPN2659" s="173"/>
      <c r="MPO2659" s="173"/>
      <c r="MZJ2659" s="173"/>
      <c r="MZK2659" s="173"/>
      <c r="NJF2659" s="173"/>
      <c r="NJG2659" s="173"/>
      <c r="NTB2659" s="173"/>
      <c r="NTC2659" s="173"/>
      <c r="OCX2659" s="173"/>
      <c r="OCY2659" s="173"/>
      <c r="OMT2659" s="173"/>
      <c r="OMU2659" s="173"/>
      <c r="OWP2659" s="173"/>
      <c r="OWQ2659" s="173"/>
      <c r="PGL2659" s="173"/>
      <c r="PGM2659" s="173"/>
      <c r="PQH2659" s="173"/>
      <c r="PQI2659" s="173"/>
      <c r="QAD2659" s="173"/>
      <c r="QAE2659" s="173"/>
      <c r="QJZ2659" s="173"/>
      <c r="QKA2659" s="173"/>
      <c r="QTV2659" s="173"/>
      <c r="QTW2659" s="173"/>
      <c r="RDR2659" s="173"/>
      <c r="RDS2659" s="173"/>
      <c r="RNN2659" s="173"/>
      <c r="RNO2659" s="173"/>
      <c r="RXJ2659" s="173"/>
      <c r="RXK2659" s="173"/>
      <c r="SHF2659" s="173"/>
      <c r="SHG2659" s="173"/>
      <c r="SRB2659" s="173"/>
      <c r="SRC2659" s="173"/>
      <c r="TAX2659" s="173"/>
      <c r="TAY2659" s="173"/>
      <c r="TKT2659" s="173"/>
      <c r="TKU2659" s="173"/>
      <c r="TUP2659" s="173"/>
      <c r="TUQ2659" s="173"/>
      <c r="UEL2659" s="173"/>
      <c r="UEM2659" s="173"/>
      <c r="UOH2659" s="173"/>
      <c r="UOI2659" s="173"/>
      <c r="UYD2659" s="173"/>
      <c r="UYE2659" s="173"/>
      <c r="VHZ2659" s="173"/>
      <c r="VIA2659" s="173"/>
      <c r="VRV2659" s="173"/>
      <c r="VRW2659" s="173"/>
      <c r="WBR2659" s="173"/>
      <c r="WBS2659" s="173"/>
      <c r="WLN2659" s="173"/>
      <c r="WLO2659" s="173"/>
      <c r="WVJ2659" s="173"/>
      <c r="WVK2659" s="173"/>
    </row>
    <row r="2660" spans="1:771 1026:1795 2050:2819 3074:3843 4098:4867 5122:5891 6146:6915 7170:7939 8194:8963 9218:9987 10242:11011 11266:12035 12290:13059 13314:14083 14338:15107 15362:16131" ht="55.2" x14ac:dyDescent="0.3">
      <c r="A2660" s="164">
        <v>249</v>
      </c>
      <c r="B2660" s="29" t="s">
        <v>2004</v>
      </c>
      <c r="C2660" s="30" t="s">
        <v>2287</v>
      </c>
      <c r="D2660" s="31" t="s">
        <v>13</v>
      </c>
      <c r="E2660" s="32">
        <v>8</v>
      </c>
      <c r="F2660" s="33"/>
      <c r="G2660" s="33"/>
      <c r="H2660" s="34" t="s">
        <v>2289</v>
      </c>
    </row>
    <row r="2661" spans="1:771 1026:1795 2050:2819 3074:3843 4098:4867 5122:5891 6146:6915 7170:7939 8194:8963 9218:9987 10242:11011 11266:12035 12290:13059 13314:14083 14338:15107 15362:16131" x14ac:dyDescent="0.3">
      <c r="A2661" s="167"/>
      <c r="B2661" s="37" t="s">
        <v>1346</v>
      </c>
      <c r="C2661" s="38" t="s">
        <v>14</v>
      </c>
      <c r="D2661" s="39"/>
      <c r="E2661" s="44"/>
      <c r="F2661" s="40"/>
      <c r="G2661" s="41">
        <f>SUM(G2662)</f>
        <v>155832000</v>
      </c>
      <c r="H2661" s="42"/>
    </row>
    <row r="2662" spans="1:771 1026:1795 2050:2819 3074:3843 4098:4867 5122:5891 6146:6915 7170:7939 8194:8963 9218:9987 10242:11011 11266:12035 12290:13059 13314:14083 14338:15107 15362:16131" ht="18.600000000000001" x14ac:dyDescent="0.3">
      <c r="A2662" s="167"/>
      <c r="B2662" s="37" t="s">
        <v>326</v>
      </c>
      <c r="C2662" s="48" t="s">
        <v>38</v>
      </c>
      <c r="D2662" s="39" t="s">
        <v>13</v>
      </c>
      <c r="E2662" s="44">
        <v>8</v>
      </c>
      <c r="F2662" s="161">
        <v>19479000</v>
      </c>
      <c r="G2662" s="40">
        <f>E2662*F2662</f>
        <v>155832000</v>
      </c>
      <c r="H2662" s="42"/>
    </row>
    <row r="2663" spans="1:771 1026:1795 2050:2819 3074:3843 4098:4867 5122:5891 6146:6915 7170:7939 8194:8963 9218:9987 10242:11011 11266:12035 12290:13059 13314:14083 14338:15107 15362:16131" ht="65.400000000000006" thickBot="1" x14ac:dyDescent="0.35">
      <c r="A2663" s="170"/>
      <c r="B2663" s="130" t="s">
        <v>2288</v>
      </c>
      <c r="C2663" s="55" t="s">
        <v>2331</v>
      </c>
      <c r="D2663" s="56"/>
      <c r="E2663" s="71"/>
      <c r="F2663" s="57"/>
      <c r="G2663" s="132"/>
      <c r="H2663" s="58"/>
    </row>
    <row r="2664" spans="1:771 1026:1795 2050:2819 3074:3843 4098:4867 5122:5891 6146:6915 7170:7939 8194:8963 9218:9987 10242:11011 11266:12035 12290:13059 13314:14083 14338:15107 15362:16131" s="177" customFormat="1" ht="31.8" thickBot="1" x14ac:dyDescent="0.35">
      <c r="A2664" s="174"/>
      <c r="B2664" s="155" t="s">
        <v>26</v>
      </c>
      <c r="C2664" s="175"/>
      <c r="D2664" s="23"/>
      <c r="E2664" s="176"/>
      <c r="F2664" s="159"/>
      <c r="G2664" s="159">
        <f>SUM(G2660:G2663)/2</f>
        <v>155832000</v>
      </c>
      <c r="H2664" s="160"/>
      <c r="IX2664" s="173"/>
      <c r="IY2664" s="173"/>
      <c r="ST2664" s="173"/>
      <c r="SU2664" s="173"/>
      <c r="ACP2664" s="173"/>
      <c r="ACQ2664" s="173"/>
      <c r="AML2664" s="173"/>
      <c r="AMM2664" s="173"/>
      <c r="AWH2664" s="173"/>
      <c r="AWI2664" s="173"/>
      <c r="BGD2664" s="173"/>
      <c r="BGE2664" s="173"/>
      <c r="BPZ2664" s="173"/>
      <c r="BQA2664" s="173"/>
      <c r="BZV2664" s="173"/>
      <c r="BZW2664" s="173"/>
      <c r="CJR2664" s="173"/>
      <c r="CJS2664" s="173"/>
      <c r="CTN2664" s="173"/>
      <c r="CTO2664" s="173"/>
      <c r="DDJ2664" s="173"/>
      <c r="DDK2664" s="173"/>
      <c r="DNF2664" s="173"/>
      <c r="DNG2664" s="173"/>
      <c r="DXB2664" s="173"/>
      <c r="DXC2664" s="173"/>
      <c r="EGX2664" s="173"/>
      <c r="EGY2664" s="173"/>
      <c r="EQT2664" s="173"/>
      <c r="EQU2664" s="173"/>
      <c r="FAP2664" s="173"/>
      <c r="FAQ2664" s="173"/>
      <c r="FKL2664" s="173"/>
      <c r="FKM2664" s="173"/>
      <c r="FUH2664" s="173"/>
      <c r="FUI2664" s="173"/>
      <c r="GED2664" s="173"/>
      <c r="GEE2664" s="173"/>
      <c r="GNZ2664" s="173"/>
      <c r="GOA2664" s="173"/>
      <c r="GXV2664" s="173"/>
      <c r="GXW2664" s="173"/>
      <c r="HHR2664" s="173"/>
      <c r="HHS2664" s="173"/>
      <c r="HRN2664" s="173"/>
      <c r="HRO2664" s="173"/>
      <c r="IBJ2664" s="173"/>
      <c r="IBK2664" s="173"/>
      <c r="ILF2664" s="173"/>
      <c r="ILG2664" s="173"/>
      <c r="IVB2664" s="173"/>
      <c r="IVC2664" s="173"/>
      <c r="JEX2664" s="173"/>
      <c r="JEY2664" s="173"/>
      <c r="JOT2664" s="173"/>
      <c r="JOU2664" s="173"/>
      <c r="JYP2664" s="173"/>
      <c r="JYQ2664" s="173"/>
      <c r="KIL2664" s="173"/>
      <c r="KIM2664" s="173"/>
      <c r="KSH2664" s="173"/>
      <c r="KSI2664" s="173"/>
      <c r="LCD2664" s="173"/>
      <c r="LCE2664" s="173"/>
      <c r="LLZ2664" s="173"/>
      <c r="LMA2664" s="173"/>
      <c r="LVV2664" s="173"/>
      <c r="LVW2664" s="173"/>
      <c r="MFR2664" s="173"/>
      <c r="MFS2664" s="173"/>
      <c r="MPN2664" s="173"/>
      <c r="MPO2664" s="173"/>
      <c r="MZJ2664" s="173"/>
      <c r="MZK2664" s="173"/>
      <c r="NJF2664" s="173"/>
      <c r="NJG2664" s="173"/>
      <c r="NTB2664" s="173"/>
      <c r="NTC2664" s="173"/>
      <c r="OCX2664" s="173"/>
      <c r="OCY2664" s="173"/>
      <c r="OMT2664" s="173"/>
      <c r="OMU2664" s="173"/>
      <c r="OWP2664" s="173"/>
      <c r="OWQ2664" s="173"/>
      <c r="PGL2664" s="173"/>
      <c r="PGM2664" s="173"/>
      <c r="PQH2664" s="173"/>
      <c r="PQI2664" s="173"/>
      <c r="QAD2664" s="173"/>
      <c r="QAE2664" s="173"/>
      <c r="QJZ2664" s="173"/>
      <c r="QKA2664" s="173"/>
      <c r="QTV2664" s="173"/>
      <c r="QTW2664" s="173"/>
      <c r="RDR2664" s="173"/>
      <c r="RDS2664" s="173"/>
      <c r="RNN2664" s="173"/>
      <c r="RNO2664" s="173"/>
      <c r="RXJ2664" s="173"/>
      <c r="RXK2664" s="173"/>
      <c r="SHF2664" s="173"/>
      <c r="SHG2664" s="173"/>
      <c r="SRB2664" s="173"/>
      <c r="SRC2664" s="173"/>
      <c r="TAX2664" s="173"/>
      <c r="TAY2664" s="173"/>
      <c r="TKT2664" s="173"/>
      <c r="TKU2664" s="173"/>
      <c r="TUP2664" s="173"/>
      <c r="TUQ2664" s="173"/>
      <c r="UEL2664" s="173"/>
      <c r="UEM2664" s="173"/>
      <c r="UOH2664" s="173"/>
      <c r="UOI2664" s="173"/>
      <c r="UYD2664" s="173"/>
      <c r="UYE2664" s="173"/>
      <c r="VHZ2664" s="173"/>
      <c r="VIA2664" s="173"/>
      <c r="VRV2664" s="173"/>
      <c r="VRW2664" s="173"/>
      <c r="WBR2664" s="173"/>
      <c r="WBS2664" s="173"/>
      <c r="WLN2664" s="173"/>
      <c r="WLO2664" s="173"/>
      <c r="WVJ2664" s="173"/>
      <c r="WVK2664" s="173"/>
    </row>
    <row r="2665" spans="1:771 1026:1795 2050:2819 3074:3843 4098:4867 5122:5891 6146:6915 7170:7939 8194:8963 9218:9987 10242:11011 11266:12035 12290:13059 13314:14083 14338:15107 15362:16131" ht="55.2" x14ac:dyDescent="0.3">
      <c r="A2665" s="164">
        <v>250</v>
      </c>
      <c r="B2665" s="29" t="s">
        <v>2259</v>
      </c>
      <c r="C2665" s="30" t="s">
        <v>2005</v>
      </c>
      <c r="D2665" s="31" t="s">
        <v>13</v>
      </c>
      <c r="E2665" s="100">
        <v>8.5</v>
      </c>
      <c r="F2665" s="33"/>
      <c r="G2665" s="33"/>
      <c r="H2665" s="34" t="s">
        <v>2006</v>
      </c>
    </row>
    <row r="2666" spans="1:771 1026:1795 2050:2819 3074:3843 4098:4867 5122:5891 6146:6915 7170:7939 8194:8963 9218:9987 10242:11011 11266:12035 12290:13059 13314:14083 14338:15107 15362:16131" x14ac:dyDescent="0.3">
      <c r="A2666" s="167"/>
      <c r="B2666" s="37" t="s">
        <v>1295</v>
      </c>
      <c r="C2666" s="38" t="s">
        <v>14</v>
      </c>
      <c r="D2666" s="39"/>
      <c r="E2666" s="44"/>
      <c r="F2666" s="40"/>
      <c r="G2666" s="41">
        <f>SUM(G2667)</f>
        <v>165571500</v>
      </c>
      <c r="H2666" s="42"/>
    </row>
    <row r="2667" spans="1:771 1026:1795 2050:2819 3074:3843 4098:4867 5122:5891 6146:6915 7170:7939 8194:8963 9218:9987 10242:11011 11266:12035 12290:13059 13314:14083 14338:15107 15362:16131" ht="18.600000000000001" x14ac:dyDescent="0.3">
      <c r="A2667" s="167"/>
      <c r="B2667" s="37" t="s">
        <v>2007</v>
      </c>
      <c r="C2667" s="48" t="s">
        <v>38</v>
      </c>
      <c r="D2667" s="39" t="s">
        <v>13</v>
      </c>
      <c r="E2667" s="44">
        <v>8.5</v>
      </c>
      <c r="F2667" s="161">
        <v>19479000</v>
      </c>
      <c r="G2667" s="40">
        <f>E2667*F2667</f>
        <v>165571500</v>
      </c>
      <c r="H2667" s="42"/>
    </row>
    <row r="2668" spans="1:771 1026:1795 2050:2819 3074:3843 4098:4867 5122:5891 6146:6915 7170:7939 8194:8963 9218:9987 10242:11011 11266:12035 12290:13059 13314:14083 14338:15107 15362:16131" s="35" customFormat="1" ht="94.2" thickBot="1" x14ac:dyDescent="0.35">
      <c r="A2668" s="53"/>
      <c r="B2668" s="130" t="s">
        <v>2008</v>
      </c>
      <c r="C2668" s="55" t="s">
        <v>2331</v>
      </c>
      <c r="D2668" s="56"/>
      <c r="E2668" s="5"/>
      <c r="F2668" s="6"/>
      <c r="G2668" s="57"/>
      <c r="H2668" s="58"/>
    </row>
    <row r="2669" spans="1:771 1026:1795 2050:2819 3074:3843 4098:4867 5122:5891 6146:6915 7170:7939 8194:8963 9218:9987 10242:11011 11266:12035 12290:13059 13314:14083 14338:15107 15362:16131" s="177" customFormat="1" ht="31.8" thickBot="1" x14ac:dyDescent="0.35">
      <c r="A2669" s="174"/>
      <c r="B2669" s="155" t="s">
        <v>26</v>
      </c>
      <c r="C2669" s="175"/>
      <c r="D2669" s="23"/>
      <c r="E2669" s="176"/>
      <c r="F2669" s="159"/>
      <c r="G2669" s="159">
        <f>SUM(G2665:G2668)/2</f>
        <v>165571500</v>
      </c>
      <c r="H2669" s="160"/>
      <c r="IX2669" s="173"/>
      <c r="IY2669" s="173"/>
      <c r="ST2669" s="173"/>
      <c r="SU2669" s="173"/>
      <c r="ACP2669" s="173"/>
      <c r="ACQ2669" s="173"/>
      <c r="AML2669" s="173"/>
      <c r="AMM2669" s="173"/>
      <c r="AWH2669" s="173"/>
      <c r="AWI2669" s="173"/>
      <c r="BGD2669" s="173"/>
      <c r="BGE2669" s="173"/>
      <c r="BPZ2669" s="173"/>
      <c r="BQA2669" s="173"/>
      <c r="BZV2669" s="173"/>
      <c r="BZW2669" s="173"/>
      <c r="CJR2669" s="173"/>
      <c r="CJS2669" s="173"/>
      <c r="CTN2669" s="173"/>
      <c r="CTO2669" s="173"/>
      <c r="DDJ2669" s="173"/>
      <c r="DDK2669" s="173"/>
      <c r="DNF2669" s="173"/>
      <c r="DNG2669" s="173"/>
      <c r="DXB2669" s="173"/>
      <c r="DXC2669" s="173"/>
      <c r="EGX2669" s="173"/>
      <c r="EGY2669" s="173"/>
      <c r="EQT2669" s="173"/>
      <c r="EQU2669" s="173"/>
      <c r="FAP2669" s="173"/>
      <c r="FAQ2669" s="173"/>
      <c r="FKL2669" s="173"/>
      <c r="FKM2669" s="173"/>
      <c r="FUH2669" s="173"/>
      <c r="FUI2669" s="173"/>
      <c r="GED2669" s="173"/>
      <c r="GEE2669" s="173"/>
      <c r="GNZ2669" s="173"/>
      <c r="GOA2669" s="173"/>
      <c r="GXV2669" s="173"/>
      <c r="GXW2669" s="173"/>
      <c r="HHR2669" s="173"/>
      <c r="HHS2669" s="173"/>
      <c r="HRN2669" s="173"/>
      <c r="HRO2669" s="173"/>
      <c r="IBJ2669" s="173"/>
      <c r="IBK2669" s="173"/>
      <c r="ILF2669" s="173"/>
      <c r="ILG2669" s="173"/>
      <c r="IVB2669" s="173"/>
      <c r="IVC2669" s="173"/>
      <c r="JEX2669" s="173"/>
      <c r="JEY2669" s="173"/>
      <c r="JOT2669" s="173"/>
      <c r="JOU2669" s="173"/>
      <c r="JYP2669" s="173"/>
      <c r="JYQ2669" s="173"/>
      <c r="KIL2669" s="173"/>
      <c r="KIM2669" s="173"/>
      <c r="KSH2669" s="173"/>
      <c r="KSI2669" s="173"/>
      <c r="LCD2669" s="173"/>
      <c r="LCE2669" s="173"/>
      <c r="LLZ2669" s="173"/>
      <c r="LMA2669" s="173"/>
      <c r="LVV2669" s="173"/>
      <c r="LVW2669" s="173"/>
      <c r="MFR2669" s="173"/>
      <c r="MFS2669" s="173"/>
      <c r="MPN2669" s="173"/>
      <c r="MPO2669" s="173"/>
      <c r="MZJ2669" s="173"/>
      <c r="MZK2669" s="173"/>
      <c r="NJF2669" s="173"/>
      <c r="NJG2669" s="173"/>
      <c r="NTB2669" s="173"/>
      <c r="NTC2669" s="173"/>
      <c r="OCX2669" s="173"/>
      <c r="OCY2669" s="173"/>
      <c r="OMT2669" s="173"/>
      <c r="OMU2669" s="173"/>
      <c r="OWP2669" s="173"/>
      <c r="OWQ2669" s="173"/>
      <c r="PGL2669" s="173"/>
      <c r="PGM2669" s="173"/>
      <c r="PQH2669" s="173"/>
      <c r="PQI2669" s="173"/>
      <c r="QAD2669" s="173"/>
      <c r="QAE2669" s="173"/>
      <c r="QJZ2669" s="173"/>
      <c r="QKA2669" s="173"/>
      <c r="QTV2669" s="173"/>
      <c r="QTW2669" s="173"/>
      <c r="RDR2669" s="173"/>
      <c r="RDS2669" s="173"/>
      <c r="RNN2669" s="173"/>
      <c r="RNO2669" s="173"/>
      <c r="RXJ2669" s="173"/>
      <c r="RXK2669" s="173"/>
      <c r="SHF2669" s="173"/>
      <c r="SHG2669" s="173"/>
      <c r="SRB2669" s="173"/>
      <c r="SRC2669" s="173"/>
      <c r="TAX2669" s="173"/>
      <c r="TAY2669" s="173"/>
      <c r="TKT2669" s="173"/>
      <c r="TKU2669" s="173"/>
      <c r="TUP2669" s="173"/>
      <c r="TUQ2669" s="173"/>
      <c r="UEL2669" s="173"/>
      <c r="UEM2669" s="173"/>
      <c r="UOH2669" s="173"/>
      <c r="UOI2669" s="173"/>
      <c r="UYD2669" s="173"/>
      <c r="UYE2669" s="173"/>
      <c r="VHZ2669" s="173"/>
      <c r="VIA2669" s="173"/>
      <c r="VRV2669" s="173"/>
      <c r="VRW2669" s="173"/>
      <c r="WBR2669" s="173"/>
      <c r="WBS2669" s="173"/>
      <c r="WLN2669" s="173"/>
      <c r="WLO2669" s="173"/>
      <c r="WVJ2669" s="173"/>
      <c r="WVK2669" s="173"/>
    </row>
    <row r="2670" spans="1:771 1026:1795 2050:2819 3074:3843 4098:4867 5122:5891 6146:6915 7170:7939 8194:8963 9218:9987 10242:11011 11266:12035 12290:13059 13314:14083 14338:15107 15362:16131" ht="55.2" x14ac:dyDescent="0.3">
      <c r="A2670" s="164">
        <v>251</v>
      </c>
      <c r="B2670" s="29" t="s">
        <v>2009</v>
      </c>
      <c r="C2670" s="30" t="s">
        <v>2010</v>
      </c>
      <c r="D2670" s="31" t="s">
        <v>13</v>
      </c>
      <c r="E2670" s="100">
        <v>8.6</v>
      </c>
      <c r="F2670" s="33"/>
      <c r="G2670" s="33"/>
      <c r="H2670" s="34" t="s">
        <v>2011</v>
      </c>
    </row>
    <row r="2671" spans="1:771 1026:1795 2050:2819 3074:3843 4098:4867 5122:5891 6146:6915 7170:7939 8194:8963 9218:9987 10242:11011 11266:12035 12290:13059 13314:14083 14338:15107 15362:16131" ht="31.2" x14ac:dyDescent="0.3">
      <c r="A2671" s="167"/>
      <c r="B2671" s="37" t="s">
        <v>2012</v>
      </c>
      <c r="C2671" s="38" t="s">
        <v>14</v>
      </c>
      <c r="D2671" s="39"/>
      <c r="E2671" s="44"/>
      <c r="F2671" s="40"/>
      <c r="G2671" s="41">
        <f>SUM(G2672)</f>
        <v>167519400</v>
      </c>
      <c r="H2671" s="42"/>
    </row>
    <row r="2672" spans="1:771 1026:1795 2050:2819 3074:3843 4098:4867 5122:5891 6146:6915 7170:7939 8194:8963 9218:9987 10242:11011 11266:12035 12290:13059 13314:14083 14338:15107 15362:16131" ht="31.2" x14ac:dyDescent="0.3">
      <c r="A2672" s="167"/>
      <c r="B2672" s="37" t="s">
        <v>2013</v>
      </c>
      <c r="C2672" s="48" t="s">
        <v>38</v>
      </c>
      <c r="D2672" s="39" t="s">
        <v>13</v>
      </c>
      <c r="E2672" s="44">
        <v>8.6</v>
      </c>
      <c r="F2672" s="153">
        <v>19479000</v>
      </c>
      <c r="G2672" s="40">
        <f>E2672*F2672</f>
        <v>167519400</v>
      </c>
      <c r="H2672" s="42"/>
    </row>
    <row r="2673" spans="1:771 1026:1795 2050:2819 3074:3843 4098:4867 5122:5891 6146:6915 7170:7939 8194:8963 9218:9987 10242:11011 11266:12035 12290:13059 13314:14083 14338:15107 15362:16131" s="35" customFormat="1" ht="94.2" thickBot="1" x14ac:dyDescent="0.35">
      <c r="A2673" s="53"/>
      <c r="B2673" s="130" t="s">
        <v>2014</v>
      </c>
      <c r="C2673" s="55" t="s">
        <v>2331</v>
      </c>
      <c r="D2673" s="56"/>
      <c r="E2673" s="5"/>
      <c r="F2673" s="6"/>
      <c r="G2673" s="57"/>
      <c r="H2673" s="58"/>
    </row>
    <row r="2674" spans="1:771 1026:1795 2050:2819 3074:3843 4098:4867 5122:5891 6146:6915 7170:7939 8194:8963 9218:9987 10242:11011 11266:12035 12290:13059 13314:14083 14338:15107 15362:16131" s="177" customFormat="1" ht="31.8" thickBot="1" x14ac:dyDescent="0.35">
      <c r="A2674" s="174"/>
      <c r="B2674" s="155" t="s">
        <v>26</v>
      </c>
      <c r="C2674" s="175"/>
      <c r="D2674" s="23"/>
      <c r="E2674" s="176"/>
      <c r="F2674" s="159"/>
      <c r="G2674" s="159">
        <f>SUM(G2670:G2673)/2</f>
        <v>167519400</v>
      </c>
      <c r="H2674" s="160"/>
      <c r="IX2674" s="173"/>
      <c r="IY2674" s="173"/>
      <c r="ST2674" s="173"/>
      <c r="SU2674" s="173"/>
      <c r="ACP2674" s="173"/>
      <c r="ACQ2674" s="173"/>
      <c r="AML2674" s="173"/>
      <c r="AMM2674" s="173"/>
      <c r="AWH2674" s="173"/>
      <c r="AWI2674" s="173"/>
      <c r="BGD2674" s="173"/>
      <c r="BGE2674" s="173"/>
      <c r="BPZ2674" s="173"/>
      <c r="BQA2674" s="173"/>
      <c r="BZV2674" s="173"/>
      <c r="BZW2674" s="173"/>
      <c r="CJR2674" s="173"/>
      <c r="CJS2674" s="173"/>
      <c r="CTN2674" s="173"/>
      <c r="CTO2674" s="173"/>
      <c r="DDJ2674" s="173"/>
      <c r="DDK2674" s="173"/>
      <c r="DNF2674" s="173"/>
      <c r="DNG2674" s="173"/>
      <c r="DXB2674" s="173"/>
      <c r="DXC2674" s="173"/>
      <c r="EGX2674" s="173"/>
      <c r="EGY2674" s="173"/>
      <c r="EQT2674" s="173"/>
      <c r="EQU2674" s="173"/>
      <c r="FAP2674" s="173"/>
      <c r="FAQ2674" s="173"/>
      <c r="FKL2674" s="173"/>
      <c r="FKM2674" s="173"/>
      <c r="FUH2674" s="173"/>
      <c r="FUI2674" s="173"/>
      <c r="GED2674" s="173"/>
      <c r="GEE2674" s="173"/>
      <c r="GNZ2674" s="173"/>
      <c r="GOA2674" s="173"/>
      <c r="GXV2674" s="173"/>
      <c r="GXW2674" s="173"/>
      <c r="HHR2674" s="173"/>
      <c r="HHS2674" s="173"/>
      <c r="HRN2674" s="173"/>
      <c r="HRO2674" s="173"/>
      <c r="IBJ2674" s="173"/>
      <c r="IBK2674" s="173"/>
      <c r="ILF2674" s="173"/>
      <c r="ILG2674" s="173"/>
      <c r="IVB2674" s="173"/>
      <c r="IVC2674" s="173"/>
      <c r="JEX2674" s="173"/>
      <c r="JEY2674" s="173"/>
      <c r="JOT2674" s="173"/>
      <c r="JOU2674" s="173"/>
      <c r="JYP2674" s="173"/>
      <c r="JYQ2674" s="173"/>
      <c r="KIL2674" s="173"/>
      <c r="KIM2674" s="173"/>
      <c r="KSH2674" s="173"/>
      <c r="KSI2674" s="173"/>
      <c r="LCD2674" s="173"/>
      <c r="LCE2674" s="173"/>
      <c r="LLZ2674" s="173"/>
      <c r="LMA2674" s="173"/>
      <c r="LVV2674" s="173"/>
      <c r="LVW2674" s="173"/>
      <c r="MFR2674" s="173"/>
      <c r="MFS2674" s="173"/>
      <c r="MPN2674" s="173"/>
      <c r="MPO2674" s="173"/>
      <c r="MZJ2674" s="173"/>
      <c r="MZK2674" s="173"/>
      <c r="NJF2674" s="173"/>
      <c r="NJG2674" s="173"/>
      <c r="NTB2674" s="173"/>
      <c r="NTC2674" s="173"/>
      <c r="OCX2674" s="173"/>
      <c r="OCY2674" s="173"/>
      <c r="OMT2674" s="173"/>
      <c r="OMU2674" s="173"/>
      <c r="OWP2674" s="173"/>
      <c r="OWQ2674" s="173"/>
      <c r="PGL2674" s="173"/>
      <c r="PGM2674" s="173"/>
      <c r="PQH2674" s="173"/>
      <c r="PQI2674" s="173"/>
      <c r="QAD2674" s="173"/>
      <c r="QAE2674" s="173"/>
      <c r="QJZ2674" s="173"/>
      <c r="QKA2674" s="173"/>
      <c r="QTV2674" s="173"/>
      <c r="QTW2674" s="173"/>
      <c r="RDR2674" s="173"/>
      <c r="RDS2674" s="173"/>
      <c r="RNN2674" s="173"/>
      <c r="RNO2674" s="173"/>
      <c r="RXJ2674" s="173"/>
      <c r="RXK2674" s="173"/>
      <c r="SHF2674" s="173"/>
      <c r="SHG2674" s="173"/>
      <c r="SRB2674" s="173"/>
      <c r="SRC2674" s="173"/>
      <c r="TAX2674" s="173"/>
      <c r="TAY2674" s="173"/>
      <c r="TKT2674" s="173"/>
      <c r="TKU2674" s="173"/>
      <c r="TUP2674" s="173"/>
      <c r="TUQ2674" s="173"/>
      <c r="UEL2674" s="173"/>
      <c r="UEM2674" s="173"/>
      <c r="UOH2674" s="173"/>
      <c r="UOI2674" s="173"/>
      <c r="UYD2674" s="173"/>
      <c r="UYE2674" s="173"/>
      <c r="VHZ2674" s="173"/>
      <c r="VIA2674" s="173"/>
      <c r="VRV2674" s="173"/>
      <c r="VRW2674" s="173"/>
      <c r="WBR2674" s="173"/>
      <c r="WBS2674" s="173"/>
      <c r="WLN2674" s="173"/>
      <c r="WLO2674" s="173"/>
      <c r="WVJ2674" s="173"/>
      <c r="WVK2674" s="173"/>
    </row>
    <row r="2675" spans="1:771 1026:1795 2050:2819 3074:3843 4098:4867 5122:5891 6146:6915 7170:7939 8194:8963 9218:9987 10242:11011 11266:12035 12290:13059 13314:14083 14338:15107 15362:16131" ht="55.2" x14ac:dyDescent="0.3">
      <c r="A2675" s="164">
        <v>252</v>
      </c>
      <c r="B2675" s="29" t="s">
        <v>2211</v>
      </c>
      <c r="C2675" s="30" t="s">
        <v>2216</v>
      </c>
      <c r="D2675" s="31" t="s">
        <v>13</v>
      </c>
      <c r="E2675" s="100">
        <v>8.6</v>
      </c>
      <c r="F2675" s="33"/>
      <c r="G2675" s="33"/>
      <c r="H2675" s="34" t="s">
        <v>2215</v>
      </c>
    </row>
    <row r="2676" spans="1:771 1026:1795 2050:2819 3074:3843 4098:4867 5122:5891 6146:6915 7170:7939 8194:8963 9218:9987 10242:11011 11266:12035 12290:13059 13314:14083 14338:15107 15362:16131" ht="31.2" x14ac:dyDescent="0.3">
      <c r="A2676" s="167"/>
      <c r="B2676" s="37" t="s">
        <v>2212</v>
      </c>
      <c r="C2676" s="38" t="s">
        <v>14</v>
      </c>
      <c r="D2676" s="39"/>
      <c r="E2676" s="44"/>
      <c r="F2676" s="40"/>
      <c r="G2676" s="41">
        <f>SUM(G2677)</f>
        <v>167519400</v>
      </c>
      <c r="H2676" s="42"/>
    </row>
    <row r="2677" spans="1:771 1026:1795 2050:2819 3074:3843 4098:4867 5122:5891 6146:6915 7170:7939 8194:8963 9218:9987 10242:11011 11266:12035 12290:13059 13314:14083 14338:15107 15362:16131" ht="31.2" x14ac:dyDescent="0.3">
      <c r="A2677" s="167"/>
      <c r="B2677" s="37" t="s">
        <v>2213</v>
      </c>
      <c r="C2677" s="48" t="s">
        <v>38</v>
      </c>
      <c r="D2677" s="39" t="s">
        <v>13</v>
      </c>
      <c r="E2677" s="44">
        <v>8.6</v>
      </c>
      <c r="F2677" s="153">
        <v>19479000</v>
      </c>
      <c r="G2677" s="40">
        <f>E2677*F2677</f>
        <v>167519400</v>
      </c>
      <c r="H2677" s="42"/>
    </row>
    <row r="2678" spans="1:771 1026:1795 2050:2819 3074:3843 4098:4867 5122:5891 6146:6915 7170:7939 8194:8963 9218:9987 10242:11011 11266:12035 12290:13059 13314:14083 14338:15107 15362:16131" ht="78" x14ac:dyDescent="0.3">
      <c r="A2678" s="167"/>
      <c r="B2678" s="37" t="s">
        <v>2214</v>
      </c>
      <c r="C2678" s="47" t="s">
        <v>35</v>
      </c>
      <c r="D2678" s="39"/>
      <c r="E2678" s="44"/>
      <c r="F2678" s="40"/>
      <c r="G2678" s="41">
        <f>SUM(G2679:G2683)</f>
        <v>485196</v>
      </c>
      <c r="H2678" s="42"/>
    </row>
    <row r="2679" spans="1:771 1026:1795 2050:2819 3074:3843 4098:4867 5122:5891 6146:6915 7170:7939 8194:8963 9218:9987 10242:11011 11266:12035 12290:13059 13314:14083 14338:15107 15362:16131" ht="93.6" x14ac:dyDescent="0.3">
      <c r="A2679" s="167"/>
      <c r="B2679" s="37"/>
      <c r="C2679" s="66" t="s">
        <v>2217</v>
      </c>
      <c r="D2679" s="39" t="s">
        <v>13</v>
      </c>
      <c r="E2679" s="44">
        <f>(1.6+0.3)*4.25*0.5</f>
        <v>4.0375000000000005</v>
      </c>
      <c r="F2679" s="40"/>
      <c r="G2679" s="40">
        <f>E2679*F2679</f>
        <v>0</v>
      </c>
      <c r="H2679" s="42" t="s">
        <v>2589</v>
      </c>
    </row>
    <row r="2680" spans="1:771 1026:1795 2050:2819 3074:3843 4098:4867 5122:5891 6146:6915 7170:7939 8194:8963 9218:9987 10242:11011 11266:12035 12290:13059 13314:14083 14338:15107 15362:16131" ht="46.8" x14ac:dyDescent="0.3">
      <c r="A2680" s="167"/>
      <c r="B2680" s="37"/>
      <c r="C2680" s="66" t="s">
        <v>2218</v>
      </c>
      <c r="D2680" s="39" t="s">
        <v>13</v>
      </c>
      <c r="E2680" s="44">
        <f>(0.5+1.8)*4.25*0.5</f>
        <v>4.8874999999999993</v>
      </c>
      <c r="F2680" s="40"/>
      <c r="G2680" s="40">
        <f t="shared" ref="G2680:G2683" si="40">E2680*F2680</f>
        <v>0</v>
      </c>
      <c r="H2680" s="42" t="s">
        <v>2453</v>
      </c>
    </row>
    <row r="2681" spans="1:771 1026:1795 2050:2819 3074:3843 4098:4867 5122:5891 6146:6915 7170:7939 8194:8963 9218:9987 10242:11011 11266:12035 12290:13059 13314:14083 14338:15107 15362:16131" ht="18.600000000000001" x14ac:dyDescent="0.3">
      <c r="A2681" s="167"/>
      <c r="B2681" s="37"/>
      <c r="C2681" s="66" t="s">
        <v>189</v>
      </c>
      <c r="D2681" s="39" t="s">
        <v>128</v>
      </c>
      <c r="E2681" s="44">
        <f>(0.6*0.5*0.1)+(0.9*0.2*0.1)+(1.8*0.6*0.1)</f>
        <v>0.15600000000000003</v>
      </c>
      <c r="F2681" s="40">
        <v>1421000</v>
      </c>
      <c r="G2681" s="40">
        <f t="shared" si="40"/>
        <v>221676.00000000003</v>
      </c>
      <c r="H2681" s="42"/>
    </row>
    <row r="2682" spans="1:771 1026:1795 2050:2819 3074:3843 4098:4867 5122:5891 6146:6915 7170:7939 8194:8963 9218:9987 10242:11011 11266:12035 12290:13059 13314:14083 14338:15107 15362:16131" x14ac:dyDescent="0.3">
      <c r="A2682" s="187"/>
      <c r="B2682" s="46"/>
      <c r="C2682" s="133" t="s">
        <v>2219</v>
      </c>
      <c r="D2682" s="39" t="s">
        <v>234</v>
      </c>
      <c r="E2682" s="44">
        <f>1.8*1.2</f>
        <v>2.16</v>
      </c>
      <c r="F2682" s="40">
        <v>122000</v>
      </c>
      <c r="G2682" s="40">
        <f t="shared" si="40"/>
        <v>263520</v>
      </c>
      <c r="H2682" s="134"/>
    </row>
    <row r="2683" spans="1:771 1026:1795 2050:2819 3074:3843 4098:4867 5122:5891 6146:6915 7170:7939 8194:8963 9218:9987 10242:11011 11266:12035 12290:13059 13314:14083 14338:15107 15362:16131" x14ac:dyDescent="0.3">
      <c r="A2683" s="188"/>
      <c r="B2683" s="54"/>
      <c r="C2683" s="135" t="s">
        <v>105</v>
      </c>
      <c r="D2683" s="56" t="s">
        <v>106</v>
      </c>
      <c r="E2683" s="71">
        <v>1</v>
      </c>
      <c r="F2683" s="57"/>
      <c r="G2683" s="40">
        <f t="shared" si="40"/>
        <v>0</v>
      </c>
      <c r="H2683" s="68" t="s">
        <v>2353</v>
      </c>
    </row>
    <row r="2684" spans="1:771 1026:1795 2050:2819 3074:3843 4098:4867 5122:5891 6146:6915 7170:7939 8194:8963 9218:9987 10242:11011 11266:12035 12290:13059 13314:14083 14338:15107 15362:16131" s="35" customFormat="1" ht="65.400000000000006" thickBot="1" x14ac:dyDescent="0.35">
      <c r="A2684" s="53"/>
      <c r="B2684" s="54"/>
      <c r="C2684" s="55" t="s">
        <v>2331</v>
      </c>
      <c r="D2684" s="56"/>
      <c r="E2684" s="5"/>
      <c r="F2684" s="6"/>
      <c r="G2684" s="57"/>
      <c r="H2684" s="58"/>
    </row>
    <row r="2685" spans="1:771 1026:1795 2050:2819 3074:3843 4098:4867 5122:5891 6146:6915 7170:7939 8194:8963 9218:9987 10242:11011 11266:12035 12290:13059 13314:14083 14338:15107 15362:16131" s="177" customFormat="1" ht="31.8" thickBot="1" x14ac:dyDescent="0.35">
      <c r="A2685" s="174"/>
      <c r="B2685" s="155" t="s">
        <v>26</v>
      </c>
      <c r="C2685" s="175"/>
      <c r="D2685" s="23"/>
      <c r="E2685" s="176"/>
      <c r="F2685" s="159"/>
      <c r="G2685" s="159">
        <f>SUM(G2675:G2684)/2</f>
        <v>168004596</v>
      </c>
      <c r="H2685" s="160"/>
      <c r="IX2685" s="173"/>
      <c r="IY2685" s="173"/>
      <c r="ST2685" s="173"/>
      <c r="SU2685" s="173"/>
      <c r="ACP2685" s="173"/>
      <c r="ACQ2685" s="173"/>
      <c r="AML2685" s="173"/>
      <c r="AMM2685" s="173"/>
      <c r="AWH2685" s="173"/>
      <c r="AWI2685" s="173"/>
      <c r="BGD2685" s="173"/>
      <c r="BGE2685" s="173"/>
      <c r="BPZ2685" s="173"/>
      <c r="BQA2685" s="173"/>
      <c r="BZV2685" s="173"/>
      <c r="BZW2685" s="173"/>
      <c r="CJR2685" s="173"/>
      <c r="CJS2685" s="173"/>
      <c r="CTN2685" s="173"/>
      <c r="CTO2685" s="173"/>
      <c r="DDJ2685" s="173"/>
      <c r="DDK2685" s="173"/>
      <c r="DNF2685" s="173"/>
      <c r="DNG2685" s="173"/>
      <c r="DXB2685" s="173"/>
      <c r="DXC2685" s="173"/>
      <c r="EGX2685" s="173"/>
      <c r="EGY2685" s="173"/>
      <c r="EQT2685" s="173"/>
      <c r="EQU2685" s="173"/>
      <c r="FAP2685" s="173"/>
      <c r="FAQ2685" s="173"/>
      <c r="FKL2685" s="173"/>
      <c r="FKM2685" s="173"/>
      <c r="FUH2685" s="173"/>
      <c r="FUI2685" s="173"/>
      <c r="GED2685" s="173"/>
      <c r="GEE2685" s="173"/>
      <c r="GNZ2685" s="173"/>
      <c r="GOA2685" s="173"/>
      <c r="GXV2685" s="173"/>
      <c r="GXW2685" s="173"/>
      <c r="HHR2685" s="173"/>
      <c r="HHS2685" s="173"/>
      <c r="HRN2685" s="173"/>
      <c r="HRO2685" s="173"/>
      <c r="IBJ2685" s="173"/>
      <c r="IBK2685" s="173"/>
      <c r="ILF2685" s="173"/>
      <c r="ILG2685" s="173"/>
      <c r="IVB2685" s="173"/>
      <c r="IVC2685" s="173"/>
      <c r="JEX2685" s="173"/>
      <c r="JEY2685" s="173"/>
      <c r="JOT2685" s="173"/>
      <c r="JOU2685" s="173"/>
      <c r="JYP2685" s="173"/>
      <c r="JYQ2685" s="173"/>
      <c r="KIL2685" s="173"/>
      <c r="KIM2685" s="173"/>
      <c r="KSH2685" s="173"/>
      <c r="KSI2685" s="173"/>
      <c r="LCD2685" s="173"/>
      <c r="LCE2685" s="173"/>
      <c r="LLZ2685" s="173"/>
      <c r="LMA2685" s="173"/>
      <c r="LVV2685" s="173"/>
      <c r="LVW2685" s="173"/>
      <c r="MFR2685" s="173"/>
      <c r="MFS2685" s="173"/>
      <c r="MPN2685" s="173"/>
      <c r="MPO2685" s="173"/>
      <c r="MZJ2685" s="173"/>
      <c r="MZK2685" s="173"/>
      <c r="NJF2685" s="173"/>
      <c r="NJG2685" s="173"/>
      <c r="NTB2685" s="173"/>
      <c r="NTC2685" s="173"/>
      <c r="OCX2685" s="173"/>
      <c r="OCY2685" s="173"/>
      <c r="OMT2685" s="173"/>
      <c r="OMU2685" s="173"/>
      <c r="OWP2685" s="173"/>
      <c r="OWQ2685" s="173"/>
      <c r="PGL2685" s="173"/>
      <c r="PGM2685" s="173"/>
      <c r="PQH2685" s="173"/>
      <c r="PQI2685" s="173"/>
      <c r="QAD2685" s="173"/>
      <c r="QAE2685" s="173"/>
      <c r="QJZ2685" s="173"/>
      <c r="QKA2685" s="173"/>
      <c r="QTV2685" s="173"/>
      <c r="QTW2685" s="173"/>
      <c r="RDR2685" s="173"/>
      <c r="RDS2685" s="173"/>
      <c r="RNN2685" s="173"/>
      <c r="RNO2685" s="173"/>
      <c r="RXJ2685" s="173"/>
      <c r="RXK2685" s="173"/>
      <c r="SHF2685" s="173"/>
      <c r="SHG2685" s="173"/>
      <c r="SRB2685" s="173"/>
      <c r="SRC2685" s="173"/>
      <c r="TAX2685" s="173"/>
      <c r="TAY2685" s="173"/>
      <c r="TKT2685" s="173"/>
      <c r="TKU2685" s="173"/>
      <c r="TUP2685" s="173"/>
      <c r="TUQ2685" s="173"/>
      <c r="UEL2685" s="173"/>
      <c r="UEM2685" s="173"/>
      <c r="UOH2685" s="173"/>
      <c r="UOI2685" s="173"/>
      <c r="UYD2685" s="173"/>
      <c r="UYE2685" s="173"/>
      <c r="VHZ2685" s="173"/>
      <c r="VIA2685" s="173"/>
      <c r="VRV2685" s="173"/>
      <c r="VRW2685" s="173"/>
      <c r="WBR2685" s="173"/>
      <c r="WBS2685" s="173"/>
      <c r="WLN2685" s="173"/>
      <c r="WLO2685" s="173"/>
      <c r="WVJ2685" s="173"/>
      <c r="WVK2685" s="173"/>
    </row>
    <row r="2686" spans="1:771 1026:1795 2050:2819 3074:3843 4098:4867 5122:5891 6146:6915 7170:7939 8194:8963 9218:9987 10242:11011 11266:12035 12290:13059 13314:14083 14338:15107 15362:16131" ht="41.4" x14ac:dyDescent="0.3">
      <c r="A2686" s="164">
        <v>253</v>
      </c>
      <c r="B2686" s="29" t="s">
        <v>2337</v>
      </c>
      <c r="C2686" s="30" t="s">
        <v>2338</v>
      </c>
      <c r="D2686" s="31" t="s">
        <v>13</v>
      </c>
      <c r="E2686" s="100">
        <v>7.9</v>
      </c>
      <c r="F2686" s="33"/>
      <c r="G2686" s="33"/>
      <c r="H2686" s="34" t="s">
        <v>64</v>
      </c>
    </row>
    <row r="2687" spans="1:771 1026:1795 2050:2819 3074:3843 4098:4867 5122:5891 6146:6915 7170:7939 8194:8963 9218:9987 10242:11011 11266:12035 12290:13059 13314:14083 14338:15107 15362:16131" x14ac:dyDescent="0.3">
      <c r="A2687" s="167"/>
      <c r="B2687" s="37" t="s">
        <v>2015</v>
      </c>
      <c r="C2687" s="38" t="s">
        <v>14</v>
      </c>
      <c r="D2687" s="39"/>
      <c r="E2687" s="44"/>
      <c r="F2687" s="40"/>
      <c r="G2687" s="41">
        <f>SUM(G2688)</f>
        <v>83232000</v>
      </c>
      <c r="H2687" s="42"/>
    </row>
    <row r="2688" spans="1:771 1026:1795 2050:2819 3074:3843 4098:4867 5122:5891 6146:6915 7170:7939 8194:8963 9218:9987 10242:11011 11266:12035 12290:13059 13314:14083 14338:15107 15362:16131" ht="62.4" x14ac:dyDescent="0.3">
      <c r="A2688" s="170"/>
      <c r="B2688" s="130" t="s">
        <v>2016</v>
      </c>
      <c r="C2688" s="136" t="s">
        <v>55</v>
      </c>
      <c r="D2688" s="56" t="s">
        <v>13</v>
      </c>
      <c r="E2688" s="71">
        <v>8</v>
      </c>
      <c r="F2688" s="189">
        <v>10404000</v>
      </c>
      <c r="G2688" s="57">
        <f>E2688*F2688</f>
        <v>83232000</v>
      </c>
      <c r="H2688" s="58" t="s">
        <v>2017</v>
      </c>
    </row>
    <row r="2689" spans="1:771 1026:1795 2050:2819 3074:3843 4098:4867 5122:5891 6146:6915 7170:7939 8194:8963 9218:9987 10242:11011 11266:12035 12290:13059 13314:14083 14338:15107 15362:16131" s="35" customFormat="1" ht="65.400000000000006" thickBot="1" x14ac:dyDescent="0.35">
      <c r="A2689" s="53"/>
      <c r="B2689" s="54"/>
      <c r="C2689" s="55" t="s">
        <v>2331</v>
      </c>
      <c r="D2689" s="56"/>
      <c r="E2689" s="5"/>
      <c r="F2689" s="6"/>
      <c r="G2689" s="57"/>
      <c r="H2689" s="58"/>
    </row>
    <row r="2690" spans="1:771 1026:1795 2050:2819 3074:3843 4098:4867 5122:5891 6146:6915 7170:7939 8194:8963 9218:9987 10242:11011 11266:12035 12290:13059 13314:14083 14338:15107 15362:16131" s="177" customFormat="1" ht="31.8" thickBot="1" x14ac:dyDescent="0.35">
      <c r="A2690" s="174"/>
      <c r="B2690" s="155" t="s">
        <v>26</v>
      </c>
      <c r="C2690" s="175"/>
      <c r="D2690" s="23"/>
      <c r="E2690" s="176"/>
      <c r="F2690" s="159"/>
      <c r="G2690" s="159">
        <f>SUM(G2686:G2689)/2</f>
        <v>83232000</v>
      </c>
      <c r="H2690" s="160"/>
      <c r="IX2690" s="173"/>
      <c r="IY2690" s="173"/>
      <c r="ST2690" s="173"/>
      <c r="SU2690" s="173"/>
      <c r="ACP2690" s="173"/>
      <c r="ACQ2690" s="173"/>
      <c r="AML2690" s="173"/>
      <c r="AMM2690" s="173"/>
      <c r="AWH2690" s="173"/>
      <c r="AWI2690" s="173"/>
      <c r="BGD2690" s="173"/>
      <c r="BGE2690" s="173"/>
      <c r="BPZ2690" s="173"/>
      <c r="BQA2690" s="173"/>
      <c r="BZV2690" s="173"/>
      <c r="BZW2690" s="173"/>
      <c r="CJR2690" s="173"/>
      <c r="CJS2690" s="173"/>
      <c r="CTN2690" s="173"/>
      <c r="CTO2690" s="173"/>
      <c r="DDJ2690" s="173"/>
      <c r="DDK2690" s="173"/>
      <c r="DNF2690" s="173"/>
      <c r="DNG2690" s="173"/>
      <c r="DXB2690" s="173"/>
      <c r="DXC2690" s="173"/>
      <c r="EGX2690" s="173"/>
      <c r="EGY2690" s="173"/>
      <c r="EQT2690" s="173"/>
      <c r="EQU2690" s="173"/>
      <c r="FAP2690" s="173"/>
      <c r="FAQ2690" s="173"/>
      <c r="FKL2690" s="173"/>
      <c r="FKM2690" s="173"/>
      <c r="FUH2690" s="173"/>
      <c r="FUI2690" s="173"/>
      <c r="GED2690" s="173"/>
      <c r="GEE2690" s="173"/>
      <c r="GNZ2690" s="173"/>
      <c r="GOA2690" s="173"/>
      <c r="GXV2690" s="173"/>
      <c r="GXW2690" s="173"/>
      <c r="HHR2690" s="173"/>
      <c r="HHS2690" s="173"/>
      <c r="HRN2690" s="173"/>
      <c r="HRO2690" s="173"/>
      <c r="IBJ2690" s="173"/>
      <c r="IBK2690" s="173"/>
      <c r="ILF2690" s="173"/>
      <c r="ILG2690" s="173"/>
      <c r="IVB2690" s="173"/>
      <c r="IVC2690" s="173"/>
      <c r="JEX2690" s="173"/>
      <c r="JEY2690" s="173"/>
      <c r="JOT2690" s="173"/>
      <c r="JOU2690" s="173"/>
      <c r="JYP2690" s="173"/>
      <c r="JYQ2690" s="173"/>
      <c r="KIL2690" s="173"/>
      <c r="KIM2690" s="173"/>
      <c r="KSH2690" s="173"/>
      <c r="KSI2690" s="173"/>
      <c r="LCD2690" s="173"/>
      <c r="LCE2690" s="173"/>
      <c r="LLZ2690" s="173"/>
      <c r="LMA2690" s="173"/>
      <c r="LVV2690" s="173"/>
      <c r="LVW2690" s="173"/>
      <c r="MFR2690" s="173"/>
      <c r="MFS2690" s="173"/>
      <c r="MPN2690" s="173"/>
      <c r="MPO2690" s="173"/>
      <c r="MZJ2690" s="173"/>
      <c r="MZK2690" s="173"/>
      <c r="NJF2690" s="173"/>
      <c r="NJG2690" s="173"/>
      <c r="NTB2690" s="173"/>
      <c r="NTC2690" s="173"/>
      <c r="OCX2690" s="173"/>
      <c r="OCY2690" s="173"/>
      <c r="OMT2690" s="173"/>
      <c r="OMU2690" s="173"/>
      <c r="OWP2690" s="173"/>
      <c r="OWQ2690" s="173"/>
      <c r="PGL2690" s="173"/>
      <c r="PGM2690" s="173"/>
      <c r="PQH2690" s="173"/>
      <c r="PQI2690" s="173"/>
      <c r="QAD2690" s="173"/>
      <c r="QAE2690" s="173"/>
      <c r="QJZ2690" s="173"/>
      <c r="QKA2690" s="173"/>
      <c r="QTV2690" s="173"/>
      <c r="QTW2690" s="173"/>
      <c r="RDR2690" s="173"/>
      <c r="RDS2690" s="173"/>
      <c r="RNN2690" s="173"/>
      <c r="RNO2690" s="173"/>
      <c r="RXJ2690" s="173"/>
      <c r="RXK2690" s="173"/>
      <c r="SHF2690" s="173"/>
      <c r="SHG2690" s="173"/>
      <c r="SRB2690" s="173"/>
      <c r="SRC2690" s="173"/>
      <c r="TAX2690" s="173"/>
      <c r="TAY2690" s="173"/>
      <c r="TKT2690" s="173"/>
      <c r="TKU2690" s="173"/>
      <c r="TUP2690" s="173"/>
      <c r="TUQ2690" s="173"/>
      <c r="UEL2690" s="173"/>
      <c r="UEM2690" s="173"/>
      <c r="UOH2690" s="173"/>
      <c r="UOI2690" s="173"/>
      <c r="UYD2690" s="173"/>
      <c r="UYE2690" s="173"/>
      <c r="VHZ2690" s="173"/>
      <c r="VIA2690" s="173"/>
      <c r="VRV2690" s="173"/>
      <c r="VRW2690" s="173"/>
      <c r="WBR2690" s="173"/>
      <c r="WBS2690" s="173"/>
      <c r="WLN2690" s="173"/>
      <c r="WLO2690" s="173"/>
      <c r="WVJ2690" s="173"/>
      <c r="WVK2690" s="173"/>
    </row>
    <row r="2691" spans="1:771 1026:1795 2050:2819 3074:3843 4098:4867 5122:5891 6146:6915 7170:7939 8194:8963 9218:9987 10242:11011 11266:12035 12290:13059 13314:14083 14338:15107 15362:16131" ht="41.4" x14ac:dyDescent="0.3">
      <c r="A2691" s="164">
        <v>254</v>
      </c>
      <c r="B2691" s="29" t="s">
        <v>2018</v>
      </c>
      <c r="C2691" s="30" t="s">
        <v>2339</v>
      </c>
      <c r="D2691" s="31" t="s">
        <v>13</v>
      </c>
      <c r="E2691" s="100">
        <v>8</v>
      </c>
      <c r="F2691" s="33"/>
      <c r="G2691" s="33"/>
      <c r="H2691" s="34" t="s">
        <v>64</v>
      </c>
    </row>
    <row r="2692" spans="1:771 1026:1795 2050:2819 3074:3843 4098:4867 5122:5891 6146:6915 7170:7939 8194:8963 9218:9987 10242:11011 11266:12035 12290:13059 13314:14083 14338:15107 15362:16131" x14ac:dyDescent="0.3">
      <c r="A2692" s="167"/>
      <c r="B2692" s="37" t="s">
        <v>2019</v>
      </c>
      <c r="C2692" s="38" t="s">
        <v>14</v>
      </c>
      <c r="D2692" s="39"/>
      <c r="E2692" s="44"/>
      <c r="F2692" s="40"/>
      <c r="G2692" s="41">
        <f>SUM(G2693)</f>
        <v>83232000</v>
      </c>
      <c r="H2692" s="42"/>
    </row>
    <row r="2693" spans="1:771 1026:1795 2050:2819 3074:3843 4098:4867 5122:5891 6146:6915 7170:7939 8194:8963 9218:9987 10242:11011 11266:12035 12290:13059 13314:14083 14338:15107 15362:16131" ht="62.4" x14ac:dyDescent="0.3">
      <c r="A2693" s="170"/>
      <c r="B2693" s="130" t="s">
        <v>2020</v>
      </c>
      <c r="C2693" s="136" t="s">
        <v>55</v>
      </c>
      <c r="D2693" s="56" t="s">
        <v>13</v>
      </c>
      <c r="E2693" s="71">
        <v>8</v>
      </c>
      <c r="F2693" s="189">
        <v>10404000</v>
      </c>
      <c r="G2693" s="57">
        <f>E2693*F2693</f>
        <v>83232000</v>
      </c>
      <c r="H2693" s="58" t="s">
        <v>235</v>
      </c>
    </row>
    <row r="2694" spans="1:771 1026:1795 2050:2819 3074:3843 4098:4867 5122:5891 6146:6915 7170:7939 8194:8963 9218:9987 10242:11011 11266:12035 12290:13059 13314:14083 14338:15107 15362:16131" s="35" customFormat="1" ht="65.400000000000006" thickBot="1" x14ac:dyDescent="0.35">
      <c r="A2694" s="53"/>
      <c r="B2694" s="54"/>
      <c r="C2694" s="55" t="s">
        <v>2331</v>
      </c>
      <c r="D2694" s="56"/>
      <c r="E2694" s="5"/>
      <c r="F2694" s="6"/>
      <c r="G2694" s="57"/>
      <c r="H2694" s="58"/>
    </row>
    <row r="2695" spans="1:771 1026:1795 2050:2819 3074:3843 4098:4867 5122:5891 6146:6915 7170:7939 8194:8963 9218:9987 10242:11011 11266:12035 12290:13059 13314:14083 14338:15107 15362:16131" s="177" customFormat="1" ht="31.8" thickBot="1" x14ac:dyDescent="0.35">
      <c r="A2695" s="174"/>
      <c r="B2695" s="155" t="s">
        <v>26</v>
      </c>
      <c r="C2695" s="175"/>
      <c r="D2695" s="23"/>
      <c r="E2695" s="176"/>
      <c r="F2695" s="159"/>
      <c r="G2695" s="159">
        <f>SUM(G2691:G2694)/2</f>
        <v>83232000</v>
      </c>
      <c r="H2695" s="160"/>
      <c r="IX2695" s="173"/>
      <c r="IY2695" s="173"/>
      <c r="ST2695" s="173"/>
      <c r="SU2695" s="173"/>
      <c r="ACP2695" s="173"/>
      <c r="ACQ2695" s="173"/>
      <c r="AML2695" s="173"/>
      <c r="AMM2695" s="173"/>
      <c r="AWH2695" s="173"/>
      <c r="AWI2695" s="173"/>
      <c r="BGD2695" s="173"/>
      <c r="BGE2695" s="173"/>
      <c r="BPZ2695" s="173"/>
      <c r="BQA2695" s="173"/>
      <c r="BZV2695" s="173"/>
      <c r="BZW2695" s="173"/>
      <c r="CJR2695" s="173"/>
      <c r="CJS2695" s="173"/>
      <c r="CTN2695" s="173"/>
      <c r="CTO2695" s="173"/>
      <c r="DDJ2695" s="173"/>
      <c r="DDK2695" s="173"/>
      <c r="DNF2695" s="173"/>
      <c r="DNG2695" s="173"/>
      <c r="DXB2695" s="173"/>
      <c r="DXC2695" s="173"/>
      <c r="EGX2695" s="173"/>
      <c r="EGY2695" s="173"/>
      <c r="EQT2695" s="173"/>
      <c r="EQU2695" s="173"/>
      <c r="FAP2695" s="173"/>
      <c r="FAQ2695" s="173"/>
      <c r="FKL2695" s="173"/>
      <c r="FKM2695" s="173"/>
      <c r="FUH2695" s="173"/>
      <c r="FUI2695" s="173"/>
      <c r="GED2695" s="173"/>
      <c r="GEE2695" s="173"/>
      <c r="GNZ2695" s="173"/>
      <c r="GOA2695" s="173"/>
      <c r="GXV2695" s="173"/>
      <c r="GXW2695" s="173"/>
      <c r="HHR2695" s="173"/>
      <c r="HHS2695" s="173"/>
      <c r="HRN2695" s="173"/>
      <c r="HRO2695" s="173"/>
      <c r="IBJ2695" s="173"/>
      <c r="IBK2695" s="173"/>
      <c r="ILF2695" s="173"/>
      <c r="ILG2695" s="173"/>
      <c r="IVB2695" s="173"/>
      <c r="IVC2695" s="173"/>
      <c r="JEX2695" s="173"/>
      <c r="JEY2695" s="173"/>
      <c r="JOT2695" s="173"/>
      <c r="JOU2695" s="173"/>
      <c r="JYP2695" s="173"/>
      <c r="JYQ2695" s="173"/>
      <c r="KIL2695" s="173"/>
      <c r="KIM2695" s="173"/>
      <c r="KSH2695" s="173"/>
      <c r="KSI2695" s="173"/>
      <c r="LCD2695" s="173"/>
      <c r="LCE2695" s="173"/>
      <c r="LLZ2695" s="173"/>
      <c r="LMA2695" s="173"/>
      <c r="LVV2695" s="173"/>
      <c r="LVW2695" s="173"/>
      <c r="MFR2695" s="173"/>
      <c r="MFS2695" s="173"/>
      <c r="MPN2695" s="173"/>
      <c r="MPO2695" s="173"/>
      <c r="MZJ2695" s="173"/>
      <c r="MZK2695" s="173"/>
      <c r="NJF2695" s="173"/>
      <c r="NJG2695" s="173"/>
      <c r="NTB2695" s="173"/>
      <c r="NTC2695" s="173"/>
      <c r="OCX2695" s="173"/>
      <c r="OCY2695" s="173"/>
      <c r="OMT2695" s="173"/>
      <c r="OMU2695" s="173"/>
      <c r="OWP2695" s="173"/>
      <c r="OWQ2695" s="173"/>
      <c r="PGL2695" s="173"/>
      <c r="PGM2695" s="173"/>
      <c r="PQH2695" s="173"/>
      <c r="PQI2695" s="173"/>
      <c r="QAD2695" s="173"/>
      <c r="QAE2695" s="173"/>
      <c r="QJZ2695" s="173"/>
      <c r="QKA2695" s="173"/>
      <c r="QTV2695" s="173"/>
      <c r="QTW2695" s="173"/>
      <c r="RDR2695" s="173"/>
      <c r="RDS2695" s="173"/>
      <c r="RNN2695" s="173"/>
      <c r="RNO2695" s="173"/>
      <c r="RXJ2695" s="173"/>
      <c r="RXK2695" s="173"/>
      <c r="SHF2695" s="173"/>
      <c r="SHG2695" s="173"/>
      <c r="SRB2695" s="173"/>
      <c r="SRC2695" s="173"/>
      <c r="TAX2695" s="173"/>
      <c r="TAY2695" s="173"/>
      <c r="TKT2695" s="173"/>
      <c r="TKU2695" s="173"/>
      <c r="TUP2695" s="173"/>
      <c r="TUQ2695" s="173"/>
      <c r="UEL2695" s="173"/>
      <c r="UEM2695" s="173"/>
      <c r="UOH2695" s="173"/>
      <c r="UOI2695" s="173"/>
      <c r="UYD2695" s="173"/>
      <c r="UYE2695" s="173"/>
      <c r="VHZ2695" s="173"/>
      <c r="VIA2695" s="173"/>
      <c r="VRV2695" s="173"/>
      <c r="VRW2695" s="173"/>
      <c r="WBR2695" s="173"/>
      <c r="WBS2695" s="173"/>
      <c r="WLN2695" s="173"/>
      <c r="WLO2695" s="173"/>
      <c r="WVJ2695" s="173"/>
      <c r="WVK2695" s="173"/>
    </row>
    <row r="2696" spans="1:771 1026:1795 2050:2819 3074:3843 4098:4867 5122:5891 6146:6915 7170:7939 8194:8963 9218:9987 10242:11011 11266:12035 12290:13059 13314:14083 14338:15107 15362:16131" ht="55.2" x14ac:dyDescent="0.3">
      <c r="A2696" s="164">
        <v>255</v>
      </c>
      <c r="B2696" s="29" t="s">
        <v>2021</v>
      </c>
      <c r="C2696" s="30" t="s">
        <v>2022</v>
      </c>
      <c r="D2696" s="31" t="s">
        <v>13</v>
      </c>
      <c r="E2696" s="100">
        <v>8.1999999999999993</v>
      </c>
      <c r="F2696" s="33"/>
      <c r="G2696" s="33"/>
      <c r="H2696" s="34" t="s">
        <v>2023</v>
      </c>
    </row>
    <row r="2697" spans="1:771 1026:1795 2050:2819 3074:3843 4098:4867 5122:5891 6146:6915 7170:7939 8194:8963 9218:9987 10242:11011 11266:12035 12290:13059 13314:14083 14338:15107 15362:16131" ht="31.2" x14ac:dyDescent="0.3">
      <c r="A2697" s="167"/>
      <c r="B2697" s="37" t="s">
        <v>2024</v>
      </c>
      <c r="C2697" s="38" t="s">
        <v>14</v>
      </c>
      <c r="D2697" s="39"/>
      <c r="E2697" s="44"/>
      <c r="F2697" s="40"/>
      <c r="G2697" s="41">
        <f>SUM(G2698)</f>
        <v>159727800</v>
      </c>
      <c r="H2697" s="42"/>
    </row>
    <row r="2698" spans="1:771 1026:1795 2050:2819 3074:3843 4098:4867 5122:5891 6146:6915 7170:7939 8194:8963 9218:9987 10242:11011 11266:12035 12290:13059 13314:14083 14338:15107 15362:16131" ht="31.2" x14ac:dyDescent="0.3">
      <c r="A2698" s="167"/>
      <c r="B2698" s="37" t="s">
        <v>2025</v>
      </c>
      <c r="C2698" s="48" t="s">
        <v>38</v>
      </c>
      <c r="D2698" s="39" t="s">
        <v>13</v>
      </c>
      <c r="E2698" s="44">
        <v>8.1999999999999993</v>
      </c>
      <c r="F2698" s="161">
        <v>19479000</v>
      </c>
      <c r="G2698" s="40">
        <f>E2698*F2698</f>
        <v>159727800</v>
      </c>
      <c r="H2698" s="42"/>
    </row>
    <row r="2699" spans="1:771 1026:1795 2050:2819 3074:3843 4098:4867 5122:5891 6146:6915 7170:7939 8194:8963 9218:9987 10242:11011 11266:12035 12290:13059 13314:14083 14338:15107 15362:16131" ht="62.4" x14ac:dyDescent="0.3">
      <c r="A2699" s="167"/>
      <c r="B2699" s="37" t="s">
        <v>2016</v>
      </c>
      <c r="C2699" s="47" t="s">
        <v>35</v>
      </c>
      <c r="D2699" s="39"/>
      <c r="E2699" s="44"/>
      <c r="F2699" s="40"/>
      <c r="G2699" s="41">
        <f>SUM(G2700:G2701)</f>
        <v>30931430.400000002</v>
      </c>
      <c r="H2699" s="42" t="s">
        <v>235</v>
      </c>
    </row>
    <row r="2700" spans="1:771 1026:1795 2050:2819 3074:3843 4098:4867 5122:5891 6146:6915 7170:7939 8194:8963 9218:9987 10242:11011 11266:12035 12290:13059 13314:14083 14338:15107 15362:16131" ht="93.6" x14ac:dyDescent="0.3">
      <c r="A2700" s="170"/>
      <c r="B2700" s="130" t="s">
        <v>2026</v>
      </c>
      <c r="C2700" s="82" t="s">
        <v>2027</v>
      </c>
      <c r="D2700" s="56" t="s">
        <v>13</v>
      </c>
      <c r="E2700" s="71">
        <f>2.08*4.14</f>
        <v>8.6112000000000002</v>
      </c>
      <c r="F2700" s="57">
        <v>3592000</v>
      </c>
      <c r="G2700" s="57">
        <f>E2700*F2700</f>
        <v>30931430.400000002</v>
      </c>
      <c r="H2700" s="58" t="s">
        <v>2627</v>
      </c>
    </row>
    <row r="2701" spans="1:771 1026:1795 2050:2819 3074:3843 4098:4867 5122:5891 6146:6915 7170:7939 8194:8963 9218:9987 10242:11011 11266:12035 12290:13059 13314:14083 14338:15107 15362:16131" s="35" customFormat="1" ht="65.400000000000006" thickBot="1" x14ac:dyDescent="0.35">
      <c r="A2701" s="53"/>
      <c r="B2701" s="54"/>
      <c r="C2701" s="55" t="s">
        <v>2331</v>
      </c>
      <c r="D2701" s="56"/>
      <c r="E2701" s="5"/>
      <c r="F2701" s="6"/>
      <c r="G2701" s="57"/>
      <c r="H2701" s="58"/>
    </row>
    <row r="2702" spans="1:771 1026:1795 2050:2819 3074:3843 4098:4867 5122:5891 6146:6915 7170:7939 8194:8963 9218:9987 10242:11011 11266:12035 12290:13059 13314:14083 14338:15107 15362:16131" s="177" customFormat="1" ht="31.8" thickBot="1" x14ac:dyDescent="0.35">
      <c r="A2702" s="174"/>
      <c r="B2702" s="155" t="s">
        <v>26</v>
      </c>
      <c r="C2702" s="175"/>
      <c r="D2702" s="23"/>
      <c r="E2702" s="176"/>
      <c r="F2702" s="159"/>
      <c r="G2702" s="159">
        <f>SUM(G2696:G2701)/2</f>
        <v>190659230.39999998</v>
      </c>
      <c r="H2702" s="160"/>
      <c r="IX2702" s="173"/>
      <c r="IY2702" s="173"/>
      <c r="ST2702" s="173"/>
      <c r="SU2702" s="173"/>
      <c r="ACP2702" s="173"/>
      <c r="ACQ2702" s="173"/>
      <c r="AML2702" s="173"/>
      <c r="AMM2702" s="173"/>
      <c r="AWH2702" s="173"/>
      <c r="AWI2702" s="173"/>
      <c r="BGD2702" s="173"/>
      <c r="BGE2702" s="173"/>
      <c r="BPZ2702" s="173"/>
      <c r="BQA2702" s="173"/>
      <c r="BZV2702" s="173"/>
      <c r="BZW2702" s="173"/>
      <c r="CJR2702" s="173"/>
      <c r="CJS2702" s="173"/>
      <c r="CTN2702" s="173"/>
      <c r="CTO2702" s="173"/>
      <c r="DDJ2702" s="173"/>
      <c r="DDK2702" s="173"/>
      <c r="DNF2702" s="173"/>
      <c r="DNG2702" s="173"/>
      <c r="DXB2702" s="173"/>
      <c r="DXC2702" s="173"/>
      <c r="EGX2702" s="173"/>
      <c r="EGY2702" s="173"/>
      <c r="EQT2702" s="173"/>
      <c r="EQU2702" s="173"/>
      <c r="FAP2702" s="173"/>
      <c r="FAQ2702" s="173"/>
      <c r="FKL2702" s="173"/>
      <c r="FKM2702" s="173"/>
      <c r="FUH2702" s="173"/>
      <c r="FUI2702" s="173"/>
      <c r="GED2702" s="173"/>
      <c r="GEE2702" s="173"/>
      <c r="GNZ2702" s="173"/>
      <c r="GOA2702" s="173"/>
      <c r="GXV2702" s="173"/>
      <c r="GXW2702" s="173"/>
      <c r="HHR2702" s="173"/>
      <c r="HHS2702" s="173"/>
      <c r="HRN2702" s="173"/>
      <c r="HRO2702" s="173"/>
      <c r="IBJ2702" s="173"/>
      <c r="IBK2702" s="173"/>
      <c r="ILF2702" s="173"/>
      <c r="ILG2702" s="173"/>
      <c r="IVB2702" s="173"/>
      <c r="IVC2702" s="173"/>
      <c r="JEX2702" s="173"/>
      <c r="JEY2702" s="173"/>
      <c r="JOT2702" s="173"/>
      <c r="JOU2702" s="173"/>
      <c r="JYP2702" s="173"/>
      <c r="JYQ2702" s="173"/>
      <c r="KIL2702" s="173"/>
      <c r="KIM2702" s="173"/>
      <c r="KSH2702" s="173"/>
      <c r="KSI2702" s="173"/>
      <c r="LCD2702" s="173"/>
      <c r="LCE2702" s="173"/>
      <c r="LLZ2702" s="173"/>
      <c r="LMA2702" s="173"/>
      <c r="LVV2702" s="173"/>
      <c r="LVW2702" s="173"/>
      <c r="MFR2702" s="173"/>
      <c r="MFS2702" s="173"/>
      <c r="MPN2702" s="173"/>
      <c r="MPO2702" s="173"/>
      <c r="MZJ2702" s="173"/>
      <c r="MZK2702" s="173"/>
      <c r="NJF2702" s="173"/>
      <c r="NJG2702" s="173"/>
      <c r="NTB2702" s="173"/>
      <c r="NTC2702" s="173"/>
      <c r="OCX2702" s="173"/>
      <c r="OCY2702" s="173"/>
      <c r="OMT2702" s="173"/>
      <c r="OMU2702" s="173"/>
      <c r="OWP2702" s="173"/>
      <c r="OWQ2702" s="173"/>
      <c r="PGL2702" s="173"/>
      <c r="PGM2702" s="173"/>
      <c r="PQH2702" s="173"/>
      <c r="PQI2702" s="173"/>
      <c r="QAD2702" s="173"/>
      <c r="QAE2702" s="173"/>
      <c r="QJZ2702" s="173"/>
      <c r="QKA2702" s="173"/>
      <c r="QTV2702" s="173"/>
      <c r="QTW2702" s="173"/>
      <c r="RDR2702" s="173"/>
      <c r="RDS2702" s="173"/>
      <c r="RNN2702" s="173"/>
      <c r="RNO2702" s="173"/>
      <c r="RXJ2702" s="173"/>
      <c r="RXK2702" s="173"/>
      <c r="SHF2702" s="173"/>
      <c r="SHG2702" s="173"/>
      <c r="SRB2702" s="173"/>
      <c r="SRC2702" s="173"/>
      <c r="TAX2702" s="173"/>
      <c r="TAY2702" s="173"/>
      <c r="TKT2702" s="173"/>
      <c r="TKU2702" s="173"/>
      <c r="TUP2702" s="173"/>
      <c r="TUQ2702" s="173"/>
      <c r="UEL2702" s="173"/>
      <c r="UEM2702" s="173"/>
      <c r="UOH2702" s="173"/>
      <c r="UOI2702" s="173"/>
      <c r="UYD2702" s="173"/>
      <c r="UYE2702" s="173"/>
      <c r="VHZ2702" s="173"/>
      <c r="VIA2702" s="173"/>
      <c r="VRV2702" s="173"/>
      <c r="VRW2702" s="173"/>
      <c r="WBR2702" s="173"/>
      <c r="WBS2702" s="173"/>
      <c r="WLN2702" s="173"/>
      <c r="WLO2702" s="173"/>
      <c r="WVJ2702" s="173"/>
      <c r="WVK2702" s="173"/>
    </row>
    <row r="2703" spans="1:771 1026:1795 2050:2819 3074:3843 4098:4867 5122:5891 6146:6915 7170:7939 8194:8963 9218:9987 10242:11011 11266:12035 12290:13059 13314:14083 14338:15107 15362:16131" ht="55.2" x14ac:dyDescent="0.3">
      <c r="A2703" s="164">
        <v>256</v>
      </c>
      <c r="B2703" s="29" t="s">
        <v>2031</v>
      </c>
      <c r="C2703" s="30" t="s">
        <v>2032</v>
      </c>
      <c r="D2703" s="31" t="s">
        <v>13</v>
      </c>
      <c r="E2703" s="137">
        <v>8.1</v>
      </c>
      <c r="F2703" s="33"/>
      <c r="G2703" s="33"/>
      <c r="H2703" s="34" t="s">
        <v>2033</v>
      </c>
    </row>
    <row r="2704" spans="1:771 1026:1795 2050:2819 3074:3843 4098:4867 5122:5891 6146:6915 7170:7939 8194:8963 9218:9987 10242:11011 11266:12035 12290:13059 13314:14083 14338:15107 15362:16131" ht="55.2" x14ac:dyDescent="0.3">
      <c r="A2704" s="167"/>
      <c r="B2704" s="37" t="s">
        <v>2034</v>
      </c>
      <c r="C2704" s="48" t="s">
        <v>2035</v>
      </c>
      <c r="D2704" s="39" t="s">
        <v>13</v>
      </c>
      <c r="E2704" s="138">
        <v>10.199999999999999</v>
      </c>
      <c r="F2704" s="40"/>
      <c r="G2704" s="40"/>
      <c r="H2704" s="42" t="s">
        <v>2036</v>
      </c>
    </row>
    <row r="2705" spans="1:8" ht="31.2" x14ac:dyDescent="0.3">
      <c r="A2705" s="167"/>
      <c r="B2705" s="37" t="s">
        <v>2037</v>
      </c>
      <c r="C2705" s="38" t="s">
        <v>14</v>
      </c>
      <c r="D2705" s="39"/>
      <c r="E2705" s="138"/>
      <c r="F2705" s="40"/>
      <c r="G2705" s="41">
        <f>SUM(G2706:G2708)</f>
        <v>495879299.99999994</v>
      </c>
      <c r="H2705" s="42"/>
    </row>
    <row r="2706" spans="1:8" ht="62.4" x14ac:dyDescent="0.3">
      <c r="A2706" s="167"/>
      <c r="B2706" s="37" t="s">
        <v>2038</v>
      </c>
      <c r="C2706" s="48" t="s">
        <v>38</v>
      </c>
      <c r="D2706" s="39"/>
      <c r="E2706" s="87">
        <f>10.2+8.1</f>
        <v>18.299999999999997</v>
      </c>
      <c r="F2706" s="153">
        <v>19479000</v>
      </c>
      <c r="G2706" s="40">
        <f>E2706*F2706</f>
        <v>356465699.99999994</v>
      </c>
      <c r="H2706" s="42"/>
    </row>
    <row r="2707" spans="1:8" s="35" customFormat="1" ht="55.2" x14ac:dyDescent="0.3">
      <c r="A2707" s="36"/>
      <c r="B2707" s="70"/>
      <c r="C2707" s="48" t="s">
        <v>2329</v>
      </c>
      <c r="D2707" s="39" t="s">
        <v>13</v>
      </c>
      <c r="E2707" s="44">
        <v>13.4</v>
      </c>
      <c r="F2707" s="40"/>
      <c r="G2707" s="40"/>
      <c r="H2707" s="42" t="s">
        <v>1763</v>
      </c>
    </row>
    <row r="2708" spans="1:8" s="35" customFormat="1" ht="31.2" x14ac:dyDescent="0.3">
      <c r="A2708" s="36"/>
      <c r="B2708" s="37"/>
      <c r="C2708" s="43" t="s">
        <v>55</v>
      </c>
      <c r="D2708" s="39" t="s">
        <v>13</v>
      </c>
      <c r="E2708" s="44">
        <v>13.4</v>
      </c>
      <c r="F2708" s="153">
        <v>10404000</v>
      </c>
      <c r="G2708" s="40">
        <f>E2708*F2708</f>
        <v>139413600</v>
      </c>
      <c r="H2708" s="42"/>
    </row>
    <row r="2709" spans="1:8" x14ac:dyDescent="0.3">
      <c r="A2709" s="167"/>
      <c r="B2709" s="37" t="s">
        <v>2039</v>
      </c>
      <c r="C2709" s="47" t="s">
        <v>35</v>
      </c>
      <c r="D2709" s="39"/>
      <c r="E2709" s="138"/>
      <c r="F2709" s="40"/>
      <c r="G2709" s="41">
        <f>SUM(G2710:G2718)</f>
        <v>86588300</v>
      </c>
      <c r="H2709" s="42"/>
    </row>
    <row r="2710" spans="1:8" ht="93.6" x14ac:dyDescent="0.3">
      <c r="A2710" s="167"/>
      <c r="B2710" s="37"/>
      <c r="C2710" s="66" t="s">
        <v>2040</v>
      </c>
      <c r="D2710" s="39" t="s">
        <v>13</v>
      </c>
      <c r="E2710" s="44">
        <f>(((1.86+0.6)*4.9)/2)*2</f>
        <v>12.054</v>
      </c>
      <c r="F2710" s="40">
        <v>4594000</v>
      </c>
      <c r="G2710" s="40">
        <f t="shared" ref="G2710:G2718" si="41">E2710*F2710</f>
        <v>55376076</v>
      </c>
      <c r="H2710" s="42" t="s">
        <v>2628</v>
      </c>
    </row>
    <row r="2711" spans="1:8" ht="109.2" x14ac:dyDescent="0.3">
      <c r="A2711" s="167"/>
      <c r="B2711" s="37"/>
      <c r="C2711" s="66" t="s">
        <v>2629</v>
      </c>
      <c r="D2711" s="39" t="s">
        <v>13</v>
      </c>
      <c r="E2711" s="44">
        <f>2*4</f>
        <v>8</v>
      </c>
      <c r="F2711" s="40">
        <v>3592000</v>
      </c>
      <c r="G2711" s="40">
        <f t="shared" si="41"/>
        <v>28736000</v>
      </c>
      <c r="H2711" s="42" t="s">
        <v>2630</v>
      </c>
    </row>
    <row r="2712" spans="1:8" ht="31.2" x14ac:dyDescent="0.3">
      <c r="A2712" s="167"/>
      <c r="B2712" s="37"/>
      <c r="C2712" s="66" t="s">
        <v>2041</v>
      </c>
      <c r="D2712" s="39" t="s">
        <v>13</v>
      </c>
      <c r="E2712" s="44">
        <f>((0.2+1.4)*4.9)/2</f>
        <v>3.92</v>
      </c>
      <c r="F2712" s="40">
        <f>540000*40%</f>
        <v>216000</v>
      </c>
      <c r="G2712" s="40">
        <f t="shared" si="41"/>
        <v>846720</v>
      </c>
      <c r="H2712" s="42"/>
    </row>
    <row r="2713" spans="1:8" ht="31.2" x14ac:dyDescent="0.3">
      <c r="A2713" s="167"/>
      <c r="B2713" s="37"/>
      <c r="C2713" s="66" t="s">
        <v>2042</v>
      </c>
      <c r="D2713" s="39" t="s">
        <v>13</v>
      </c>
      <c r="E2713" s="44">
        <f>((4.9+5.4)*4.1)/2-((3.52+3.1)*4.1)/2</f>
        <v>7.5439999999999987</v>
      </c>
      <c r="F2713" s="40">
        <f>540000*40%</f>
        <v>216000</v>
      </c>
      <c r="G2713" s="40">
        <f t="shared" si="41"/>
        <v>1629503.9999999998</v>
      </c>
      <c r="H2713" s="42"/>
    </row>
    <row r="2714" spans="1:8" x14ac:dyDescent="0.3">
      <c r="A2714" s="167"/>
      <c r="B2714" s="37"/>
      <c r="C2714" s="66" t="s">
        <v>105</v>
      </c>
      <c r="D2714" s="39" t="s">
        <v>106</v>
      </c>
      <c r="E2714" s="44">
        <v>2</v>
      </c>
      <c r="F2714" s="40"/>
      <c r="G2714" s="40">
        <f t="shared" si="41"/>
        <v>0</v>
      </c>
      <c r="H2714" s="52" t="s">
        <v>2353</v>
      </c>
    </row>
    <row r="2715" spans="1:8" s="35" customFormat="1" ht="93.6" x14ac:dyDescent="0.3">
      <c r="A2715" s="36"/>
      <c r="B2715" s="50" t="s">
        <v>81</v>
      </c>
      <c r="C2715" s="48" t="s">
        <v>1764</v>
      </c>
      <c r="D2715" s="39"/>
      <c r="E2715" s="44"/>
      <c r="F2715" s="40"/>
      <c r="G2715" s="40">
        <f t="shared" si="41"/>
        <v>0</v>
      </c>
      <c r="H2715" s="42" t="s">
        <v>2590</v>
      </c>
    </row>
    <row r="2716" spans="1:8" s="35" customFormat="1" x14ac:dyDescent="0.3">
      <c r="A2716" s="36"/>
      <c r="B2716" s="46"/>
      <c r="C2716" s="48" t="s">
        <v>15</v>
      </c>
      <c r="D2716" s="39"/>
      <c r="E2716" s="44"/>
      <c r="F2716" s="40"/>
      <c r="G2716" s="40">
        <f t="shared" si="41"/>
        <v>0</v>
      </c>
      <c r="H2716" s="52"/>
    </row>
    <row r="2717" spans="1:8" s="35" customFormat="1" ht="41.4" x14ac:dyDescent="0.3">
      <c r="A2717" s="36"/>
      <c r="B2717" s="46"/>
      <c r="C2717" s="48" t="s">
        <v>1737</v>
      </c>
      <c r="D2717" s="39" t="s">
        <v>13</v>
      </c>
      <c r="E2717" s="44">
        <f>2*7</f>
        <v>14</v>
      </c>
      <c r="F2717" s="40"/>
      <c r="G2717" s="40">
        <f t="shared" si="41"/>
        <v>0</v>
      </c>
      <c r="H2717" s="42" t="s">
        <v>2590</v>
      </c>
    </row>
    <row r="2718" spans="1:8" s="35" customFormat="1" ht="41.4" x14ac:dyDescent="0.3">
      <c r="A2718" s="36"/>
      <c r="B2718" s="46"/>
      <c r="C2718" s="48" t="s">
        <v>1748</v>
      </c>
      <c r="D2718" s="39" t="s">
        <v>13</v>
      </c>
      <c r="E2718" s="44">
        <f>4*7</f>
        <v>28</v>
      </c>
      <c r="F2718" s="40"/>
      <c r="G2718" s="40">
        <f t="shared" si="41"/>
        <v>0</v>
      </c>
      <c r="H2718" s="42" t="s">
        <v>2590</v>
      </c>
    </row>
    <row r="2719" spans="1:8" s="35" customFormat="1" x14ac:dyDescent="0.3">
      <c r="A2719" s="36"/>
      <c r="B2719" s="46"/>
      <c r="C2719" s="51" t="s">
        <v>23</v>
      </c>
      <c r="D2719" s="39"/>
      <c r="E2719" s="1"/>
      <c r="F2719" s="2"/>
      <c r="G2719" s="41">
        <f>SUM(G2720:G2721)</f>
        <v>6120000</v>
      </c>
      <c r="H2719" s="52"/>
    </row>
    <row r="2720" spans="1:8" s="35" customFormat="1" x14ac:dyDescent="0.3">
      <c r="A2720" s="36"/>
      <c r="B2720" s="46"/>
      <c r="C2720" s="50" t="s">
        <v>24</v>
      </c>
      <c r="D2720" s="39" t="s">
        <v>25</v>
      </c>
      <c r="E2720" s="1">
        <f>2*30*6</f>
        <v>360</v>
      </c>
      <c r="F2720" s="2">
        <v>17000</v>
      </c>
      <c r="G2720" s="40">
        <f>E2720*F2720</f>
        <v>6120000</v>
      </c>
      <c r="H2720" s="42"/>
    </row>
    <row r="2721" spans="1:771 1026:1795 2050:2819 3074:3843 4098:4867 5122:5891 6146:6915 7170:7939 8194:8963 9218:9987 10242:11011 11266:12035 12290:13059 13314:14083 14338:15107 15362:16131" s="35" customFormat="1" ht="65.400000000000006" thickBot="1" x14ac:dyDescent="0.35">
      <c r="A2721" s="53"/>
      <c r="B2721" s="54"/>
      <c r="C2721" s="55" t="s">
        <v>2331</v>
      </c>
      <c r="D2721" s="56"/>
      <c r="E2721" s="5"/>
      <c r="F2721" s="6"/>
      <c r="G2721" s="57"/>
      <c r="H2721" s="58"/>
    </row>
    <row r="2722" spans="1:771 1026:1795 2050:2819 3074:3843 4098:4867 5122:5891 6146:6915 7170:7939 8194:8963 9218:9987 10242:11011 11266:12035 12290:13059 13314:14083 14338:15107 15362:16131" s="59" customFormat="1" ht="31.8" thickBot="1" x14ac:dyDescent="0.35">
      <c r="A2722" s="154"/>
      <c r="B2722" s="155" t="s">
        <v>26</v>
      </c>
      <c r="C2722" s="156"/>
      <c r="D2722" s="154"/>
      <c r="E2722" s="157"/>
      <c r="F2722" s="158"/>
      <c r="G2722" s="159">
        <f>SUM(G2703:G2721)/2</f>
        <v>588587600</v>
      </c>
      <c r="H2722" s="160"/>
      <c r="IX2722" s="35"/>
      <c r="IY2722" s="35"/>
      <c r="ST2722" s="35"/>
      <c r="SU2722" s="35"/>
      <c r="ACP2722" s="35"/>
      <c r="ACQ2722" s="35"/>
      <c r="AML2722" s="35"/>
      <c r="AMM2722" s="35"/>
      <c r="AWH2722" s="35"/>
      <c r="AWI2722" s="35"/>
      <c r="BGD2722" s="35"/>
      <c r="BGE2722" s="35"/>
      <c r="BPZ2722" s="35"/>
      <c r="BQA2722" s="35"/>
      <c r="BZV2722" s="35"/>
      <c r="BZW2722" s="35"/>
      <c r="CJR2722" s="35"/>
      <c r="CJS2722" s="35"/>
      <c r="CTN2722" s="35"/>
      <c r="CTO2722" s="35"/>
      <c r="DDJ2722" s="35"/>
      <c r="DDK2722" s="35"/>
      <c r="DNF2722" s="35"/>
      <c r="DNG2722" s="35"/>
      <c r="DXB2722" s="35"/>
      <c r="DXC2722" s="35"/>
      <c r="EGX2722" s="35"/>
      <c r="EGY2722" s="35"/>
      <c r="EQT2722" s="35"/>
      <c r="EQU2722" s="35"/>
      <c r="FAP2722" s="35"/>
      <c r="FAQ2722" s="35"/>
      <c r="FKL2722" s="35"/>
      <c r="FKM2722" s="35"/>
      <c r="FUH2722" s="35"/>
      <c r="FUI2722" s="35"/>
      <c r="GED2722" s="35"/>
      <c r="GEE2722" s="35"/>
      <c r="GNZ2722" s="35"/>
      <c r="GOA2722" s="35"/>
      <c r="GXV2722" s="35"/>
      <c r="GXW2722" s="35"/>
      <c r="HHR2722" s="35"/>
      <c r="HHS2722" s="35"/>
      <c r="HRN2722" s="35"/>
      <c r="HRO2722" s="35"/>
      <c r="IBJ2722" s="35"/>
      <c r="IBK2722" s="35"/>
      <c r="ILF2722" s="35"/>
      <c r="ILG2722" s="35"/>
      <c r="IVB2722" s="35"/>
      <c r="IVC2722" s="35"/>
      <c r="JEX2722" s="35"/>
      <c r="JEY2722" s="35"/>
      <c r="JOT2722" s="35"/>
      <c r="JOU2722" s="35"/>
      <c r="JYP2722" s="35"/>
      <c r="JYQ2722" s="35"/>
      <c r="KIL2722" s="35"/>
      <c r="KIM2722" s="35"/>
      <c r="KSH2722" s="35"/>
      <c r="KSI2722" s="35"/>
      <c r="LCD2722" s="35"/>
      <c r="LCE2722" s="35"/>
      <c r="LLZ2722" s="35"/>
      <c r="LMA2722" s="35"/>
      <c r="LVV2722" s="35"/>
      <c r="LVW2722" s="35"/>
      <c r="MFR2722" s="35"/>
      <c r="MFS2722" s="35"/>
      <c r="MPN2722" s="35"/>
      <c r="MPO2722" s="35"/>
      <c r="MZJ2722" s="35"/>
      <c r="MZK2722" s="35"/>
      <c r="NJF2722" s="35"/>
      <c r="NJG2722" s="35"/>
      <c r="NTB2722" s="35"/>
      <c r="NTC2722" s="35"/>
      <c r="OCX2722" s="35"/>
      <c r="OCY2722" s="35"/>
      <c r="OMT2722" s="35"/>
      <c r="OMU2722" s="35"/>
      <c r="OWP2722" s="35"/>
      <c r="OWQ2722" s="35"/>
      <c r="PGL2722" s="35"/>
      <c r="PGM2722" s="35"/>
      <c r="PQH2722" s="35"/>
      <c r="PQI2722" s="35"/>
      <c r="QAD2722" s="35"/>
      <c r="QAE2722" s="35"/>
      <c r="QJZ2722" s="35"/>
      <c r="QKA2722" s="35"/>
      <c r="QTV2722" s="35"/>
      <c r="QTW2722" s="35"/>
      <c r="RDR2722" s="35"/>
      <c r="RDS2722" s="35"/>
      <c r="RNN2722" s="35"/>
      <c r="RNO2722" s="35"/>
      <c r="RXJ2722" s="35"/>
      <c r="RXK2722" s="35"/>
      <c r="SHF2722" s="35"/>
      <c r="SHG2722" s="35"/>
      <c r="SRB2722" s="35"/>
      <c r="SRC2722" s="35"/>
      <c r="TAX2722" s="35"/>
      <c r="TAY2722" s="35"/>
      <c r="TKT2722" s="35"/>
      <c r="TKU2722" s="35"/>
      <c r="TUP2722" s="35"/>
      <c r="TUQ2722" s="35"/>
      <c r="UEL2722" s="35"/>
      <c r="UEM2722" s="35"/>
      <c r="UOH2722" s="35"/>
      <c r="UOI2722" s="35"/>
      <c r="UYD2722" s="35"/>
      <c r="UYE2722" s="35"/>
      <c r="VHZ2722" s="35"/>
      <c r="VIA2722" s="35"/>
      <c r="VRV2722" s="35"/>
      <c r="VRW2722" s="35"/>
      <c r="WBR2722" s="35"/>
      <c r="WBS2722" s="35"/>
      <c r="WLN2722" s="35"/>
      <c r="WLO2722" s="35"/>
      <c r="WVJ2722" s="35"/>
      <c r="WVK2722" s="35"/>
    </row>
    <row r="2723" spans="1:771 1026:1795 2050:2819 3074:3843 4098:4867 5122:5891 6146:6915 7170:7939 8194:8963 9218:9987 10242:11011 11266:12035 12290:13059 13314:14083 14338:15107 15362:16131" ht="55.2" x14ac:dyDescent="0.3">
      <c r="A2723" s="164">
        <v>257</v>
      </c>
      <c r="B2723" s="29" t="s">
        <v>2043</v>
      </c>
      <c r="C2723" s="30" t="s">
        <v>2631</v>
      </c>
      <c r="D2723" s="31" t="s">
        <v>13</v>
      </c>
      <c r="E2723" s="137">
        <v>29.5</v>
      </c>
      <c r="F2723" s="33"/>
      <c r="G2723" s="33"/>
      <c r="H2723" s="34" t="s">
        <v>2300</v>
      </c>
    </row>
    <row r="2724" spans="1:771 1026:1795 2050:2819 3074:3843 4098:4867 5122:5891 6146:6915 7170:7939 8194:8963 9218:9987 10242:11011 11266:12035 12290:13059 13314:14083 14338:15107 15362:16131" ht="78" x14ac:dyDescent="0.3">
      <c r="A2724" s="167"/>
      <c r="B2724" s="37" t="s">
        <v>2044</v>
      </c>
      <c r="C2724" s="38" t="s">
        <v>14</v>
      </c>
      <c r="D2724" s="39"/>
      <c r="E2724" s="44"/>
      <c r="F2724" s="40"/>
      <c r="G2724" s="41">
        <f>SUM(G2725)</f>
        <v>306918000</v>
      </c>
      <c r="H2724" s="42"/>
    </row>
    <row r="2725" spans="1:771 1026:1795 2050:2819 3074:3843 4098:4867 5122:5891 6146:6915 7170:7939 8194:8963 9218:9987 10242:11011 11266:12035 12290:13059 13314:14083 14338:15107 15362:16131" ht="31.2" x14ac:dyDescent="0.3">
      <c r="A2725" s="170"/>
      <c r="B2725" s="130" t="s">
        <v>2045</v>
      </c>
      <c r="C2725" s="136" t="s">
        <v>55</v>
      </c>
      <c r="D2725" s="56" t="s">
        <v>13</v>
      </c>
      <c r="E2725" s="190">
        <v>29.5</v>
      </c>
      <c r="F2725" s="191">
        <v>10404000</v>
      </c>
      <c r="G2725" s="57">
        <f>E2725*F2725</f>
        <v>306918000</v>
      </c>
      <c r="H2725" s="58"/>
    </row>
    <row r="2726" spans="1:771 1026:1795 2050:2819 3074:3843 4098:4867 5122:5891 6146:6915 7170:7939 8194:8963 9218:9987 10242:11011 11266:12035 12290:13059 13314:14083 14338:15107 15362:16131" s="35" customFormat="1" ht="65.400000000000006" thickBot="1" x14ac:dyDescent="0.35">
      <c r="A2726" s="53"/>
      <c r="B2726" s="54"/>
      <c r="C2726" s="55" t="s">
        <v>2331</v>
      </c>
      <c r="D2726" s="56"/>
      <c r="E2726" s="5"/>
      <c r="F2726" s="6"/>
      <c r="G2726" s="57"/>
      <c r="H2726" s="58"/>
    </row>
    <row r="2727" spans="1:771 1026:1795 2050:2819 3074:3843 4098:4867 5122:5891 6146:6915 7170:7939 8194:8963 9218:9987 10242:11011 11266:12035 12290:13059 13314:14083 14338:15107 15362:16131" s="177" customFormat="1" ht="31.8" thickBot="1" x14ac:dyDescent="0.35">
      <c r="A2727" s="174"/>
      <c r="B2727" s="155" t="s">
        <v>26</v>
      </c>
      <c r="C2727" s="175"/>
      <c r="D2727" s="23"/>
      <c r="E2727" s="176"/>
      <c r="F2727" s="159"/>
      <c r="G2727" s="159">
        <f>SUM(G2723:G2726)/2</f>
        <v>306918000</v>
      </c>
      <c r="H2727" s="160"/>
      <c r="IX2727" s="173"/>
      <c r="IY2727" s="173"/>
      <c r="ST2727" s="173"/>
      <c r="SU2727" s="173"/>
      <c r="ACP2727" s="173"/>
      <c r="ACQ2727" s="173"/>
      <c r="AML2727" s="173"/>
      <c r="AMM2727" s="173"/>
      <c r="AWH2727" s="173"/>
      <c r="AWI2727" s="173"/>
      <c r="BGD2727" s="173"/>
      <c r="BGE2727" s="173"/>
      <c r="BPZ2727" s="173"/>
      <c r="BQA2727" s="173"/>
      <c r="BZV2727" s="173"/>
      <c r="BZW2727" s="173"/>
      <c r="CJR2727" s="173"/>
      <c r="CJS2727" s="173"/>
      <c r="CTN2727" s="173"/>
      <c r="CTO2727" s="173"/>
      <c r="DDJ2727" s="173"/>
      <c r="DDK2727" s="173"/>
      <c r="DNF2727" s="173"/>
      <c r="DNG2727" s="173"/>
      <c r="DXB2727" s="173"/>
      <c r="DXC2727" s="173"/>
      <c r="EGX2727" s="173"/>
      <c r="EGY2727" s="173"/>
      <c r="EQT2727" s="173"/>
      <c r="EQU2727" s="173"/>
      <c r="FAP2727" s="173"/>
      <c r="FAQ2727" s="173"/>
      <c r="FKL2727" s="173"/>
      <c r="FKM2727" s="173"/>
      <c r="FUH2727" s="173"/>
      <c r="FUI2727" s="173"/>
      <c r="GED2727" s="173"/>
      <c r="GEE2727" s="173"/>
      <c r="GNZ2727" s="173"/>
      <c r="GOA2727" s="173"/>
      <c r="GXV2727" s="173"/>
      <c r="GXW2727" s="173"/>
      <c r="HHR2727" s="173"/>
      <c r="HHS2727" s="173"/>
      <c r="HRN2727" s="173"/>
      <c r="HRO2727" s="173"/>
      <c r="IBJ2727" s="173"/>
      <c r="IBK2727" s="173"/>
      <c r="ILF2727" s="173"/>
      <c r="ILG2727" s="173"/>
      <c r="IVB2727" s="173"/>
      <c r="IVC2727" s="173"/>
      <c r="JEX2727" s="173"/>
      <c r="JEY2727" s="173"/>
      <c r="JOT2727" s="173"/>
      <c r="JOU2727" s="173"/>
      <c r="JYP2727" s="173"/>
      <c r="JYQ2727" s="173"/>
      <c r="KIL2727" s="173"/>
      <c r="KIM2727" s="173"/>
      <c r="KSH2727" s="173"/>
      <c r="KSI2727" s="173"/>
      <c r="LCD2727" s="173"/>
      <c r="LCE2727" s="173"/>
      <c r="LLZ2727" s="173"/>
      <c r="LMA2727" s="173"/>
      <c r="LVV2727" s="173"/>
      <c r="LVW2727" s="173"/>
      <c r="MFR2727" s="173"/>
      <c r="MFS2727" s="173"/>
      <c r="MPN2727" s="173"/>
      <c r="MPO2727" s="173"/>
      <c r="MZJ2727" s="173"/>
      <c r="MZK2727" s="173"/>
      <c r="NJF2727" s="173"/>
      <c r="NJG2727" s="173"/>
      <c r="NTB2727" s="173"/>
      <c r="NTC2727" s="173"/>
      <c r="OCX2727" s="173"/>
      <c r="OCY2727" s="173"/>
      <c r="OMT2727" s="173"/>
      <c r="OMU2727" s="173"/>
      <c r="OWP2727" s="173"/>
      <c r="OWQ2727" s="173"/>
      <c r="PGL2727" s="173"/>
      <c r="PGM2727" s="173"/>
      <c r="PQH2727" s="173"/>
      <c r="PQI2727" s="173"/>
      <c r="QAD2727" s="173"/>
      <c r="QAE2727" s="173"/>
      <c r="QJZ2727" s="173"/>
      <c r="QKA2727" s="173"/>
      <c r="QTV2727" s="173"/>
      <c r="QTW2727" s="173"/>
      <c r="RDR2727" s="173"/>
      <c r="RDS2727" s="173"/>
      <c r="RNN2727" s="173"/>
      <c r="RNO2727" s="173"/>
      <c r="RXJ2727" s="173"/>
      <c r="RXK2727" s="173"/>
      <c r="SHF2727" s="173"/>
      <c r="SHG2727" s="173"/>
      <c r="SRB2727" s="173"/>
      <c r="SRC2727" s="173"/>
      <c r="TAX2727" s="173"/>
      <c r="TAY2727" s="173"/>
      <c r="TKT2727" s="173"/>
      <c r="TKU2727" s="173"/>
      <c r="TUP2727" s="173"/>
      <c r="TUQ2727" s="173"/>
      <c r="UEL2727" s="173"/>
      <c r="UEM2727" s="173"/>
      <c r="UOH2727" s="173"/>
      <c r="UOI2727" s="173"/>
      <c r="UYD2727" s="173"/>
      <c r="UYE2727" s="173"/>
      <c r="VHZ2727" s="173"/>
      <c r="VIA2727" s="173"/>
      <c r="VRV2727" s="173"/>
      <c r="VRW2727" s="173"/>
      <c r="WBR2727" s="173"/>
      <c r="WBS2727" s="173"/>
      <c r="WLN2727" s="173"/>
      <c r="WLO2727" s="173"/>
      <c r="WVJ2727" s="173"/>
      <c r="WVK2727" s="173"/>
    </row>
    <row r="2728" spans="1:771 1026:1795 2050:2819 3074:3843 4098:4867 5122:5891 6146:6915 7170:7939 8194:8963 9218:9987 10242:11011 11266:12035 12290:13059 13314:14083 14338:15107 15362:16131" ht="55.2" x14ac:dyDescent="0.3">
      <c r="A2728" s="164">
        <v>258</v>
      </c>
      <c r="B2728" s="29" t="s">
        <v>2062</v>
      </c>
      <c r="C2728" s="30" t="s">
        <v>2063</v>
      </c>
      <c r="D2728" s="31" t="s">
        <v>13</v>
      </c>
      <c r="E2728" s="100">
        <v>3.3</v>
      </c>
      <c r="F2728" s="33"/>
      <c r="G2728" s="33"/>
      <c r="H2728" s="34" t="s">
        <v>2064</v>
      </c>
    </row>
    <row r="2729" spans="1:771 1026:1795 2050:2819 3074:3843 4098:4867 5122:5891 6146:6915 7170:7939 8194:8963 9218:9987 10242:11011 11266:12035 12290:13059 13314:14083 14338:15107 15362:16131" x14ac:dyDescent="0.3">
      <c r="A2729" s="167"/>
      <c r="B2729" s="37" t="s">
        <v>2046</v>
      </c>
      <c r="C2729" s="38" t="s">
        <v>14</v>
      </c>
      <c r="D2729" s="39"/>
      <c r="E2729" s="44"/>
      <c r="F2729" s="40"/>
      <c r="G2729" s="41">
        <f>SUM(G2730)</f>
        <v>64280700</v>
      </c>
      <c r="H2729" s="42"/>
    </row>
    <row r="2730" spans="1:771 1026:1795 2050:2819 3074:3843 4098:4867 5122:5891 6146:6915 7170:7939 8194:8963 9218:9987 10242:11011 11266:12035 12290:13059 13314:14083 14338:15107 15362:16131" ht="18.600000000000001" x14ac:dyDescent="0.3">
      <c r="A2730" s="167"/>
      <c r="B2730" s="37" t="s">
        <v>2065</v>
      </c>
      <c r="C2730" s="48" t="s">
        <v>38</v>
      </c>
      <c r="D2730" s="39" t="s">
        <v>13</v>
      </c>
      <c r="E2730" s="44">
        <v>3.3</v>
      </c>
      <c r="F2730" s="161">
        <v>19479000</v>
      </c>
      <c r="G2730" s="40">
        <f>E2730*F2730</f>
        <v>64280700</v>
      </c>
      <c r="H2730" s="42"/>
    </row>
    <row r="2731" spans="1:771 1026:1795 2050:2819 3074:3843 4098:4867 5122:5891 6146:6915 7170:7939 8194:8963 9218:9987 10242:11011 11266:12035 12290:13059 13314:14083 14338:15107 15362:16131" ht="78" x14ac:dyDescent="0.3">
      <c r="A2731" s="167"/>
      <c r="B2731" s="37" t="s">
        <v>2066</v>
      </c>
      <c r="C2731" s="47" t="s">
        <v>35</v>
      </c>
      <c r="D2731" s="39"/>
      <c r="E2731" s="44"/>
      <c r="F2731" s="40"/>
      <c r="G2731" s="41">
        <f>SUM(G2732:G2740)</f>
        <v>73722965</v>
      </c>
      <c r="H2731" s="42" t="s">
        <v>235</v>
      </c>
    </row>
    <row r="2732" spans="1:771 1026:1795 2050:2819 3074:3843 4098:4867 5122:5891 6146:6915 7170:7939 8194:8963 9218:9987 10242:11011 11266:12035 12290:13059 13314:14083 14338:15107 15362:16131" ht="140.4" x14ac:dyDescent="0.3">
      <c r="A2732" s="167"/>
      <c r="B2732" s="37" t="s">
        <v>2067</v>
      </c>
      <c r="C2732" s="66" t="s">
        <v>2068</v>
      </c>
      <c r="D2732" s="39" t="s">
        <v>13</v>
      </c>
      <c r="E2732" s="44"/>
      <c r="F2732" s="40"/>
      <c r="G2732" s="40">
        <f t="shared" ref="G2732:G2740" si="42">E2732*F2732</f>
        <v>0</v>
      </c>
      <c r="H2732" s="42"/>
    </row>
    <row r="2733" spans="1:771 1026:1795 2050:2819 3074:3843 4098:4867 5122:5891 6146:6915 7170:7939 8194:8963 9218:9987 10242:11011 11266:12035 12290:13059 13314:14083 14338:15107 15362:16131" x14ac:dyDescent="0.3">
      <c r="A2733" s="167"/>
      <c r="B2733" s="37"/>
      <c r="C2733" s="66" t="s">
        <v>15</v>
      </c>
      <c r="D2733" s="39"/>
      <c r="E2733" s="44"/>
      <c r="F2733" s="40"/>
      <c r="G2733" s="40">
        <f t="shared" si="42"/>
        <v>0</v>
      </c>
      <c r="H2733" s="42"/>
    </row>
    <row r="2734" spans="1:771 1026:1795 2050:2819 3074:3843 4098:4867 5122:5891 6146:6915 7170:7939 8194:8963 9218:9987 10242:11011 11266:12035 12290:13059 13314:14083 14338:15107 15362:16131" ht="18.600000000000001" x14ac:dyDescent="0.3">
      <c r="A2734" s="167"/>
      <c r="B2734" s="37"/>
      <c r="C2734" s="66" t="s">
        <v>2069</v>
      </c>
      <c r="D2734" s="39" t="s">
        <v>13</v>
      </c>
      <c r="E2734" s="44">
        <f>(5.15*3.25)-(1.6*5.15)</f>
        <v>8.4975000000000005</v>
      </c>
      <c r="F2734" s="40">
        <v>5284000</v>
      </c>
      <c r="G2734" s="40">
        <f t="shared" si="42"/>
        <v>44900790</v>
      </c>
      <c r="H2734" s="42"/>
    </row>
    <row r="2735" spans="1:771 1026:1795 2050:2819 3074:3843 4098:4867 5122:5891 6146:6915 7170:7939 8194:8963 9218:9987 10242:11011 11266:12035 12290:13059 13314:14083 14338:15107 15362:16131" ht="18.600000000000001" x14ac:dyDescent="0.3">
      <c r="A2735" s="167"/>
      <c r="B2735" s="37"/>
      <c r="C2735" s="66" t="s">
        <v>2070</v>
      </c>
      <c r="D2735" s="39" t="s">
        <v>13</v>
      </c>
      <c r="E2735" s="44"/>
      <c r="F2735" s="40"/>
      <c r="G2735" s="40">
        <f t="shared" si="42"/>
        <v>0</v>
      </c>
      <c r="H2735" s="42"/>
    </row>
    <row r="2736" spans="1:771 1026:1795 2050:2819 3074:3843 4098:4867 5122:5891 6146:6915 7170:7939 8194:8963 9218:9987 10242:11011 11266:12035 12290:13059 13314:14083 14338:15107 15362:16131" ht="18.600000000000001" x14ac:dyDescent="0.3">
      <c r="A2736" s="167"/>
      <c r="B2736" s="37"/>
      <c r="C2736" s="66" t="s">
        <v>2071</v>
      </c>
      <c r="D2736" s="39" t="s">
        <v>13</v>
      </c>
      <c r="E2736" s="44">
        <f>(3.15*3.25)-(3.15*1.6)</f>
        <v>5.1974999999999989</v>
      </c>
      <c r="F2736" s="40"/>
      <c r="G2736" s="40">
        <f t="shared" si="42"/>
        <v>0</v>
      </c>
      <c r="H2736" s="42"/>
    </row>
    <row r="2737" spans="1:771 1026:1795 2050:2819 3074:3843 4098:4867 5122:5891 6146:6915 7170:7939 8194:8963 9218:9987 10242:11011 11266:12035 12290:13059 13314:14083 14338:15107 15362:16131" ht="18.600000000000001" x14ac:dyDescent="0.3">
      <c r="A2737" s="167"/>
      <c r="B2737" s="37"/>
      <c r="C2737" s="66" t="s">
        <v>2072</v>
      </c>
      <c r="D2737" s="39" t="s">
        <v>13</v>
      </c>
      <c r="E2737" s="44">
        <f>(2*3.9)-(2-1.6)</f>
        <v>7.4</v>
      </c>
      <c r="F2737" s="40">
        <v>3739000</v>
      </c>
      <c r="G2737" s="40">
        <f t="shared" si="42"/>
        <v>27668600</v>
      </c>
      <c r="H2737" s="42"/>
    </row>
    <row r="2738" spans="1:771 1026:1795 2050:2819 3074:3843 4098:4867 5122:5891 6146:6915 7170:7939 8194:8963 9218:9987 10242:11011 11266:12035 12290:13059 13314:14083 14338:15107 15362:16131" ht="46.8" x14ac:dyDescent="0.3">
      <c r="A2738" s="167"/>
      <c r="B2738" s="37"/>
      <c r="C2738" s="66" t="s">
        <v>2073</v>
      </c>
      <c r="D2738" s="39" t="s">
        <v>13</v>
      </c>
      <c r="E2738" s="44">
        <f>((0.25+2)*3.25)/2-((1.4+2)*1.6)/2</f>
        <v>0.9362499999999998</v>
      </c>
      <c r="F2738" s="40">
        <v>540000</v>
      </c>
      <c r="G2738" s="40">
        <f t="shared" si="42"/>
        <v>505574.99999999988</v>
      </c>
      <c r="H2738" s="42"/>
    </row>
    <row r="2739" spans="1:771 1026:1795 2050:2819 3074:3843 4098:4867 5122:5891 6146:6915 7170:7939 8194:8963 9218:9987 10242:11011 11266:12035 12290:13059 13314:14083 14338:15107 15362:16131" x14ac:dyDescent="0.3">
      <c r="A2739" s="167"/>
      <c r="B2739" s="37"/>
      <c r="C2739" s="66" t="s">
        <v>105</v>
      </c>
      <c r="D2739" s="39" t="s">
        <v>106</v>
      </c>
      <c r="E2739" s="44">
        <v>1</v>
      </c>
      <c r="F2739" s="40"/>
      <c r="G2739" s="40">
        <f t="shared" si="42"/>
        <v>0</v>
      </c>
      <c r="H2739" s="52" t="s">
        <v>2353</v>
      </c>
    </row>
    <row r="2740" spans="1:771 1026:1795 2050:2819 3074:3843 4098:4867 5122:5891 6146:6915 7170:7939 8194:8963 9218:9987 10242:11011 11266:12035 12290:13059 13314:14083 14338:15107 15362:16131" x14ac:dyDescent="0.3">
      <c r="A2740" s="167"/>
      <c r="B2740" s="37"/>
      <c r="C2740" s="66" t="s">
        <v>2074</v>
      </c>
      <c r="D2740" s="39" t="s">
        <v>19</v>
      </c>
      <c r="E2740" s="44">
        <v>7.2</v>
      </c>
      <c r="F2740" s="40">
        <f>360000/4</f>
        <v>90000</v>
      </c>
      <c r="G2740" s="40">
        <f t="shared" si="42"/>
        <v>648000</v>
      </c>
      <c r="H2740" s="42"/>
    </row>
    <row r="2741" spans="1:771 1026:1795 2050:2819 3074:3843 4098:4867 5122:5891 6146:6915 7170:7939 8194:8963 9218:9987 10242:11011 11266:12035 12290:13059 13314:14083 14338:15107 15362:16131" s="177" customFormat="1" x14ac:dyDescent="0.3">
      <c r="A2741" s="167"/>
      <c r="B2741" s="64"/>
      <c r="C2741" s="47" t="s">
        <v>20</v>
      </c>
      <c r="D2741" s="139"/>
      <c r="E2741" s="192"/>
      <c r="F2741" s="140"/>
      <c r="G2741" s="41">
        <f>SUM(G2742:G2743)</f>
        <v>140000</v>
      </c>
      <c r="H2741" s="141"/>
    </row>
    <row r="2742" spans="1:771 1026:1795 2050:2819 3074:3843 4098:4867 5122:5891 6146:6915 7170:7939 8194:8963 9218:9987 10242:11011 11266:12035 12290:13059 13314:14083 14338:15107 15362:16131" x14ac:dyDescent="0.3">
      <c r="A2742" s="167"/>
      <c r="B2742" s="37"/>
      <c r="C2742" s="66" t="s">
        <v>36</v>
      </c>
      <c r="D2742" s="76" t="s">
        <v>22</v>
      </c>
      <c r="E2742" s="44">
        <v>20</v>
      </c>
      <c r="F2742" s="40">
        <v>4000</v>
      </c>
      <c r="G2742" s="40">
        <f>E2742*F2742</f>
        <v>80000</v>
      </c>
      <c r="H2742" s="42"/>
    </row>
    <row r="2743" spans="1:771 1026:1795 2050:2819 3074:3843 4098:4867 5122:5891 6146:6915 7170:7939 8194:8963 9218:9987 10242:11011 11266:12035 12290:13059 13314:14083 14338:15107 15362:16131" ht="31.2" x14ac:dyDescent="0.3">
      <c r="A2743" s="170"/>
      <c r="B2743" s="130"/>
      <c r="C2743" s="82" t="s">
        <v>2608</v>
      </c>
      <c r="D2743" s="39" t="s">
        <v>13</v>
      </c>
      <c r="E2743" s="71">
        <v>2</v>
      </c>
      <c r="F2743" s="57">
        <v>30000</v>
      </c>
      <c r="G2743" s="57">
        <f>E2743*F2743</f>
        <v>60000</v>
      </c>
      <c r="H2743" s="58"/>
    </row>
    <row r="2744" spans="1:771 1026:1795 2050:2819 3074:3843 4098:4867 5122:5891 6146:6915 7170:7939 8194:8963 9218:9987 10242:11011 11266:12035 12290:13059 13314:14083 14338:15107 15362:16131" s="35" customFormat="1" ht="65.400000000000006" thickBot="1" x14ac:dyDescent="0.35">
      <c r="A2744" s="53"/>
      <c r="B2744" s="54"/>
      <c r="C2744" s="55" t="s">
        <v>2331</v>
      </c>
      <c r="D2744" s="56"/>
      <c r="E2744" s="5"/>
      <c r="F2744" s="6"/>
      <c r="G2744" s="57"/>
      <c r="H2744" s="58"/>
    </row>
    <row r="2745" spans="1:771 1026:1795 2050:2819 3074:3843 4098:4867 5122:5891 6146:6915 7170:7939 8194:8963 9218:9987 10242:11011 11266:12035 12290:13059 13314:14083 14338:15107 15362:16131" s="177" customFormat="1" ht="31.8" thickBot="1" x14ac:dyDescent="0.35">
      <c r="A2745" s="174"/>
      <c r="B2745" s="155" t="s">
        <v>26</v>
      </c>
      <c r="C2745" s="175"/>
      <c r="D2745" s="23"/>
      <c r="E2745" s="176"/>
      <c r="F2745" s="159"/>
      <c r="G2745" s="159">
        <f>SUM(G2728:G2744)/2</f>
        <v>138143665</v>
      </c>
      <c r="H2745" s="160"/>
      <c r="IX2745" s="173"/>
      <c r="IY2745" s="173"/>
      <c r="ST2745" s="173"/>
      <c r="SU2745" s="173"/>
      <c r="ACP2745" s="173"/>
      <c r="ACQ2745" s="173"/>
      <c r="AML2745" s="173"/>
      <c r="AMM2745" s="173"/>
      <c r="AWH2745" s="173"/>
      <c r="AWI2745" s="173"/>
      <c r="BGD2745" s="173"/>
      <c r="BGE2745" s="173"/>
      <c r="BPZ2745" s="173"/>
      <c r="BQA2745" s="173"/>
      <c r="BZV2745" s="173"/>
      <c r="BZW2745" s="173"/>
      <c r="CJR2745" s="173"/>
      <c r="CJS2745" s="173"/>
      <c r="CTN2745" s="173"/>
      <c r="CTO2745" s="173"/>
      <c r="DDJ2745" s="173"/>
      <c r="DDK2745" s="173"/>
      <c r="DNF2745" s="173"/>
      <c r="DNG2745" s="173"/>
      <c r="DXB2745" s="173"/>
      <c r="DXC2745" s="173"/>
      <c r="EGX2745" s="173"/>
      <c r="EGY2745" s="173"/>
      <c r="EQT2745" s="173"/>
      <c r="EQU2745" s="173"/>
      <c r="FAP2745" s="173"/>
      <c r="FAQ2745" s="173"/>
      <c r="FKL2745" s="173"/>
      <c r="FKM2745" s="173"/>
      <c r="FUH2745" s="173"/>
      <c r="FUI2745" s="173"/>
      <c r="GED2745" s="173"/>
      <c r="GEE2745" s="173"/>
      <c r="GNZ2745" s="173"/>
      <c r="GOA2745" s="173"/>
      <c r="GXV2745" s="173"/>
      <c r="GXW2745" s="173"/>
      <c r="HHR2745" s="173"/>
      <c r="HHS2745" s="173"/>
      <c r="HRN2745" s="173"/>
      <c r="HRO2745" s="173"/>
      <c r="IBJ2745" s="173"/>
      <c r="IBK2745" s="173"/>
      <c r="ILF2745" s="173"/>
      <c r="ILG2745" s="173"/>
      <c r="IVB2745" s="173"/>
      <c r="IVC2745" s="173"/>
      <c r="JEX2745" s="173"/>
      <c r="JEY2745" s="173"/>
      <c r="JOT2745" s="173"/>
      <c r="JOU2745" s="173"/>
      <c r="JYP2745" s="173"/>
      <c r="JYQ2745" s="173"/>
      <c r="KIL2745" s="173"/>
      <c r="KIM2745" s="173"/>
      <c r="KSH2745" s="173"/>
      <c r="KSI2745" s="173"/>
      <c r="LCD2745" s="173"/>
      <c r="LCE2745" s="173"/>
      <c r="LLZ2745" s="173"/>
      <c r="LMA2745" s="173"/>
      <c r="LVV2745" s="173"/>
      <c r="LVW2745" s="173"/>
      <c r="MFR2745" s="173"/>
      <c r="MFS2745" s="173"/>
      <c r="MPN2745" s="173"/>
      <c r="MPO2745" s="173"/>
      <c r="MZJ2745" s="173"/>
      <c r="MZK2745" s="173"/>
      <c r="NJF2745" s="173"/>
      <c r="NJG2745" s="173"/>
      <c r="NTB2745" s="173"/>
      <c r="NTC2745" s="173"/>
      <c r="OCX2745" s="173"/>
      <c r="OCY2745" s="173"/>
      <c r="OMT2745" s="173"/>
      <c r="OMU2745" s="173"/>
      <c r="OWP2745" s="173"/>
      <c r="OWQ2745" s="173"/>
      <c r="PGL2745" s="173"/>
      <c r="PGM2745" s="173"/>
      <c r="PQH2745" s="173"/>
      <c r="PQI2745" s="173"/>
      <c r="QAD2745" s="173"/>
      <c r="QAE2745" s="173"/>
      <c r="QJZ2745" s="173"/>
      <c r="QKA2745" s="173"/>
      <c r="QTV2745" s="173"/>
      <c r="QTW2745" s="173"/>
      <c r="RDR2745" s="173"/>
      <c r="RDS2745" s="173"/>
      <c r="RNN2745" s="173"/>
      <c r="RNO2745" s="173"/>
      <c r="RXJ2745" s="173"/>
      <c r="RXK2745" s="173"/>
      <c r="SHF2745" s="173"/>
      <c r="SHG2745" s="173"/>
      <c r="SRB2745" s="173"/>
      <c r="SRC2745" s="173"/>
      <c r="TAX2745" s="173"/>
      <c r="TAY2745" s="173"/>
      <c r="TKT2745" s="173"/>
      <c r="TKU2745" s="173"/>
      <c r="TUP2745" s="173"/>
      <c r="TUQ2745" s="173"/>
      <c r="UEL2745" s="173"/>
      <c r="UEM2745" s="173"/>
      <c r="UOH2745" s="173"/>
      <c r="UOI2745" s="173"/>
      <c r="UYD2745" s="173"/>
      <c r="UYE2745" s="173"/>
      <c r="VHZ2745" s="173"/>
      <c r="VIA2745" s="173"/>
      <c r="VRV2745" s="173"/>
      <c r="VRW2745" s="173"/>
      <c r="WBR2745" s="173"/>
      <c r="WBS2745" s="173"/>
      <c r="WLN2745" s="173"/>
      <c r="WLO2745" s="173"/>
      <c r="WVJ2745" s="173"/>
      <c r="WVK2745" s="173"/>
    </row>
    <row r="2746" spans="1:771 1026:1795 2050:2819 3074:3843 4098:4867 5122:5891 6146:6915 7170:7939 8194:8963 9218:9987 10242:11011 11266:12035 12290:13059 13314:14083 14338:15107 15362:16131" ht="55.2" x14ac:dyDescent="0.3">
      <c r="A2746" s="164">
        <v>259</v>
      </c>
      <c r="B2746" s="29" t="s">
        <v>2279</v>
      </c>
      <c r="C2746" s="30" t="s">
        <v>2084</v>
      </c>
      <c r="D2746" s="31" t="s">
        <v>13</v>
      </c>
      <c r="E2746" s="100">
        <v>10</v>
      </c>
      <c r="F2746" s="33"/>
      <c r="G2746" s="33"/>
      <c r="H2746" s="34" t="s">
        <v>2085</v>
      </c>
    </row>
    <row r="2747" spans="1:771 1026:1795 2050:2819 3074:3843 4098:4867 5122:5891 6146:6915 7170:7939 8194:8963 9218:9987 10242:11011 11266:12035 12290:13059 13314:14083 14338:15107 15362:16131" x14ac:dyDescent="0.3">
      <c r="A2747" s="167"/>
      <c r="B2747" s="37" t="s">
        <v>2086</v>
      </c>
      <c r="C2747" s="38" t="s">
        <v>14</v>
      </c>
      <c r="D2747" s="39"/>
      <c r="E2747" s="44"/>
      <c r="F2747" s="40"/>
      <c r="G2747" s="41">
        <f>SUM(G2748)</f>
        <v>104040000</v>
      </c>
      <c r="H2747" s="42"/>
    </row>
    <row r="2748" spans="1:771 1026:1795 2050:2819 3074:3843 4098:4867 5122:5891 6146:6915 7170:7939 8194:8963 9218:9987 10242:11011 11266:12035 12290:13059 13314:14083 14338:15107 15362:16131" ht="31.2" x14ac:dyDescent="0.3">
      <c r="A2748" s="167"/>
      <c r="B2748" s="37" t="s">
        <v>2087</v>
      </c>
      <c r="C2748" s="48" t="s">
        <v>55</v>
      </c>
      <c r="D2748" s="39" t="s">
        <v>13</v>
      </c>
      <c r="E2748" s="44">
        <v>10</v>
      </c>
      <c r="F2748" s="153">
        <v>10404000</v>
      </c>
      <c r="G2748" s="40">
        <f>E2748*F2748</f>
        <v>104040000</v>
      </c>
      <c r="H2748" s="42"/>
    </row>
    <row r="2749" spans="1:771 1026:1795 2050:2819 3074:3843 4098:4867 5122:5891 6146:6915 7170:7939 8194:8963 9218:9987 10242:11011 11266:12035 12290:13059 13314:14083 14338:15107 15362:16131" ht="78" x14ac:dyDescent="0.3">
      <c r="A2749" s="167"/>
      <c r="B2749" s="37" t="s">
        <v>2088</v>
      </c>
      <c r="C2749" s="47" t="s">
        <v>35</v>
      </c>
      <c r="D2749" s="39"/>
      <c r="E2749" s="44"/>
      <c r="F2749" s="40"/>
      <c r="G2749" s="41">
        <f>SUM(G2750:G2752)</f>
        <v>9457280</v>
      </c>
      <c r="H2749" s="42" t="s">
        <v>235</v>
      </c>
    </row>
    <row r="2750" spans="1:771 1026:1795 2050:2819 3074:3843 4098:4867 5122:5891 6146:6915 7170:7939 8194:8963 9218:9987 10242:11011 11266:12035 12290:13059 13314:14083 14338:15107 15362:16131" ht="93.6" x14ac:dyDescent="0.3">
      <c r="A2750" s="167"/>
      <c r="B2750" s="37" t="s">
        <v>2089</v>
      </c>
      <c r="C2750" s="66" t="s">
        <v>2632</v>
      </c>
      <c r="D2750" s="39" t="s">
        <v>13</v>
      </c>
      <c r="E2750" s="44">
        <f>((1.25+1.35)*5)/2</f>
        <v>6.5</v>
      </c>
      <c r="F2750" s="40">
        <f>3592000*40%</f>
        <v>1436800</v>
      </c>
      <c r="G2750" s="40">
        <f>E2750*F2750</f>
        <v>9339200</v>
      </c>
      <c r="H2750" s="42" t="s">
        <v>2633</v>
      </c>
    </row>
    <row r="2751" spans="1:771 1026:1795 2050:2819 3074:3843 4098:4867 5122:5891 6146:6915 7170:7939 8194:8963 9218:9987 10242:11011 11266:12035 12290:13059 13314:14083 14338:15107 15362:16131" ht="31.2" x14ac:dyDescent="0.3">
      <c r="A2751" s="167"/>
      <c r="B2751" s="37"/>
      <c r="C2751" s="66" t="s">
        <v>2090</v>
      </c>
      <c r="D2751" s="39" t="s">
        <v>13</v>
      </c>
      <c r="E2751" s="44">
        <f>((0.75+0.85)*5)/2</f>
        <v>4</v>
      </c>
      <c r="F2751" s="40"/>
      <c r="G2751" s="40">
        <f>E2751*F2751</f>
        <v>0</v>
      </c>
      <c r="H2751" s="111" t="s">
        <v>2453</v>
      </c>
    </row>
    <row r="2752" spans="1:771 1026:1795 2050:2819 3074:3843 4098:4867 5122:5891 6146:6915 7170:7939 8194:8963 9218:9987 10242:11011 11266:12035 12290:13059 13314:14083 14338:15107 15362:16131" ht="18.600000000000001" x14ac:dyDescent="0.3">
      <c r="A2752" s="167"/>
      <c r="B2752" s="37"/>
      <c r="C2752" s="66" t="s">
        <v>18</v>
      </c>
      <c r="D2752" s="39" t="s">
        <v>13</v>
      </c>
      <c r="E2752" s="44">
        <f>0.9*3.2</f>
        <v>2.8800000000000003</v>
      </c>
      <c r="F2752" s="40">
        <v>41000</v>
      </c>
      <c r="G2752" s="40">
        <f>E2752*F2752</f>
        <v>118080.00000000001</v>
      </c>
      <c r="H2752" s="42"/>
    </row>
    <row r="2753" spans="1:771 1026:1795 2050:2819 3074:3843 4098:4867 5122:5891 6146:6915 7170:7939 8194:8963 9218:9987 10242:11011 11266:12035 12290:13059 13314:14083 14338:15107 15362:16131" x14ac:dyDescent="0.3">
      <c r="A2753" s="36"/>
      <c r="B2753" s="37"/>
      <c r="C2753" s="51" t="s">
        <v>23</v>
      </c>
      <c r="D2753" s="39"/>
      <c r="E2753" s="1"/>
      <c r="F2753" s="2"/>
      <c r="G2753" s="41">
        <f>SUM(G2754)</f>
        <v>3060000</v>
      </c>
      <c r="H2753" s="52"/>
    </row>
    <row r="2754" spans="1:771 1026:1795 2050:2819 3074:3843 4098:4867 5122:5891 6146:6915 7170:7939 8194:8963 9218:9987 10242:11011 11266:12035 12290:13059 13314:14083 14338:15107 15362:16131" x14ac:dyDescent="0.3">
      <c r="A2754" s="53"/>
      <c r="B2754" s="54"/>
      <c r="C2754" s="67" t="s">
        <v>24</v>
      </c>
      <c r="D2754" s="56" t="s">
        <v>25</v>
      </c>
      <c r="E2754" s="5">
        <f>1*30*6</f>
        <v>180</v>
      </c>
      <c r="F2754" s="6">
        <v>17000</v>
      </c>
      <c r="G2754" s="57">
        <f>E2754*F2754</f>
        <v>3060000</v>
      </c>
      <c r="H2754" s="58"/>
    </row>
    <row r="2755" spans="1:771 1026:1795 2050:2819 3074:3843 4098:4867 5122:5891 6146:6915 7170:7939 8194:8963 9218:9987 10242:11011 11266:12035 12290:13059 13314:14083 14338:15107 15362:16131" s="35" customFormat="1" ht="65.400000000000006" thickBot="1" x14ac:dyDescent="0.35">
      <c r="A2755" s="53"/>
      <c r="B2755" s="54"/>
      <c r="C2755" s="55" t="s">
        <v>2331</v>
      </c>
      <c r="D2755" s="56"/>
      <c r="E2755" s="5"/>
      <c r="F2755" s="6"/>
      <c r="G2755" s="57"/>
      <c r="H2755" s="58"/>
    </row>
    <row r="2756" spans="1:771 1026:1795 2050:2819 3074:3843 4098:4867 5122:5891 6146:6915 7170:7939 8194:8963 9218:9987 10242:11011 11266:12035 12290:13059 13314:14083 14338:15107 15362:16131" s="177" customFormat="1" ht="31.8" thickBot="1" x14ac:dyDescent="0.35">
      <c r="A2756" s="174"/>
      <c r="B2756" s="155" t="s">
        <v>26</v>
      </c>
      <c r="C2756" s="175"/>
      <c r="D2756" s="23"/>
      <c r="E2756" s="176"/>
      <c r="F2756" s="159"/>
      <c r="G2756" s="159">
        <f>SUM(G2746:G2755)/2</f>
        <v>116557280</v>
      </c>
      <c r="H2756" s="160"/>
      <c r="IX2756" s="173"/>
      <c r="IY2756" s="173"/>
      <c r="ST2756" s="173"/>
      <c r="SU2756" s="173"/>
      <c r="ACP2756" s="173"/>
      <c r="ACQ2756" s="173"/>
      <c r="AML2756" s="173"/>
      <c r="AMM2756" s="173"/>
      <c r="AWH2756" s="173"/>
      <c r="AWI2756" s="173"/>
      <c r="BGD2756" s="173"/>
      <c r="BGE2756" s="173"/>
      <c r="BPZ2756" s="173"/>
      <c r="BQA2756" s="173"/>
      <c r="BZV2756" s="173"/>
      <c r="BZW2756" s="173"/>
      <c r="CJR2756" s="173"/>
      <c r="CJS2756" s="173"/>
      <c r="CTN2756" s="173"/>
      <c r="CTO2756" s="173"/>
      <c r="DDJ2756" s="173"/>
      <c r="DDK2756" s="173"/>
      <c r="DNF2756" s="173"/>
      <c r="DNG2756" s="173"/>
      <c r="DXB2756" s="173"/>
      <c r="DXC2756" s="173"/>
      <c r="EGX2756" s="173"/>
      <c r="EGY2756" s="173"/>
      <c r="EQT2756" s="173"/>
      <c r="EQU2756" s="173"/>
      <c r="FAP2756" s="173"/>
      <c r="FAQ2756" s="173"/>
      <c r="FKL2756" s="173"/>
      <c r="FKM2756" s="173"/>
      <c r="FUH2756" s="173"/>
      <c r="FUI2756" s="173"/>
      <c r="GED2756" s="173"/>
      <c r="GEE2756" s="173"/>
      <c r="GNZ2756" s="173"/>
      <c r="GOA2756" s="173"/>
      <c r="GXV2756" s="173"/>
      <c r="GXW2756" s="173"/>
      <c r="HHR2756" s="173"/>
      <c r="HHS2756" s="173"/>
      <c r="HRN2756" s="173"/>
      <c r="HRO2756" s="173"/>
      <c r="IBJ2756" s="173"/>
      <c r="IBK2756" s="173"/>
      <c r="ILF2756" s="173"/>
      <c r="ILG2756" s="173"/>
      <c r="IVB2756" s="173"/>
      <c r="IVC2756" s="173"/>
      <c r="JEX2756" s="173"/>
      <c r="JEY2756" s="173"/>
      <c r="JOT2756" s="173"/>
      <c r="JOU2756" s="173"/>
      <c r="JYP2756" s="173"/>
      <c r="JYQ2756" s="173"/>
      <c r="KIL2756" s="173"/>
      <c r="KIM2756" s="173"/>
      <c r="KSH2756" s="173"/>
      <c r="KSI2756" s="173"/>
      <c r="LCD2756" s="173"/>
      <c r="LCE2756" s="173"/>
      <c r="LLZ2756" s="173"/>
      <c r="LMA2756" s="173"/>
      <c r="LVV2756" s="173"/>
      <c r="LVW2756" s="173"/>
      <c r="MFR2756" s="173"/>
      <c r="MFS2756" s="173"/>
      <c r="MPN2756" s="173"/>
      <c r="MPO2756" s="173"/>
      <c r="MZJ2756" s="173"/>
      <c r="MZK2756" s="173"/>
      <c r="NJF2756" s="173"/>
      <c r="NJG2756" s="173"/>
      <c r="NTB2756" s="173"/>
      <c r="NTC2756" s="173"/>
      <c r="OCX2756" s="173"/>
      <c r="OCY2756" s="173"/>
      <c r="OMT2756" s="173"/>
      <c r="OMU2756" s="173"/>
      <c r="OWP2756" s="173"/>
      <c r="OWQ2756" s="173"/>
      <c r="PGL2756" s="173"/>
      <c r="PGM2756" s="173"/>
      <c r="PQH2756" s="173"/>
      <c r="PQI2756" s="173"/>
      <c r="QAD2756" s="173"/>
      <c r="QAE2756" s="173"/>
      <c r="QJZ2756" s="173"/>
      <c r="QKA2756" s="173"/>
      <c r="QTV2756" s="173"/>
      <c r="QTW2756" s="173"/>
      <c r="RDR2756" s="173"/>
      <c r="RDS2756" s="173"/>
      <c r="RNN2756" s="173"/>
      <c r="RNO2756" s="173"/>
      <c r="RXJ2756" s="173"/>
      <c r="RXK2756" s="173"/>
      <c r="SHF2756" s="173"/>
      <c r="SHG2756" s="173"/>
      <c r="SRB2756" s="173"/>
      <c r="SRC2756" s="173"/>
      <c r="TAX2756" s="173"/>
      <c r="TAY2756" s="173"/>
      <c r="TKT2756" s="173"/>
      <c r="TKU2756" s="173"/>
      <c r="TUP2756" s="173"/>
      <c r="TUQ2756" s="173"/>
      <c r="UEL2756" s="173"/>
      <c r="UEM2756" s="173"/>
      <c r="UOH2756" s="173"/>
      <c r="UOI2756" s="173"/>
      <c r="UYD2756" s="173"/>
      <c r="UYE2756" s="173"/>
      <c r="VHZ2756" s="173"/>
      <c r="VIA2756" s="173"/>
      <c r="VRV2756" s="173"/>
      <c r="VRW2756" s="173"/>
      <c r="WBR2756" s="173"/>
      <c r="WBS2756" s="173"/>
      <c r="WLN2756" s="173"/>
      <c r="WLO2756" s="173"/>
      <c r="WVJ2756" s="173"/>
      <c r="WVK2756" s="173"/>
    </row>
    <row r="2757" spans="1:771 1026:1795 2050:2819 3074:3843 4098:4867 5122:5891 6146:6915 7170:7939 8194:8963 9218:9987 10242:11011 11266:12035 12290:13059 13314:14083 14338:15107 15362:16131" ht="55.2" x14ac:dyDescent="0.3">
      <c r="A2757" s="164">
        <v>260</v>
      </c>
      <c r="B2757" s="29" t="s">
        <v>2091</v>
      </c>
      <c r="C2757" s="30" t="s">
        <v>2293</v>
      </c>
      <c r="D2757" s="31" t="s">
        <v>13</v>
      </c>
      <c r="E2757" s="100">
        <v>4</v>
      </c>
      <c r="F2757" s="33"/>
      <c r="G2757" s="33"/>
      <c r="H2757" s="34" t="s">
        <v>2292</v>
      </c>
    </row>
    <row r="2758" spans="1:771 1026:1795 2050:2819 3074:3843 4098:4867 5122:5891 6146:6915 7170:7939 8194:8963 9218:9987 10242:11011 11266:12035 12290:13059 13314:14083 14338:15107 15362:16131" x14ac:dyDescent="0.3">
      <c r="A2758" s="167"/>
      <c r="B2758" s="37" t="s">
        <v>2092</v>
      </c>
      <c r="C2758" s="38" t="s">
        <v>14</v>
      </c>
      <c r="D2758" s="39"/>
      <c r="E2758" s="44"/>
      <c r="F2758" s="40"/>
      <c r="G2758" s="41">
        <f>SUM(G2759)</f>
        <v>77916000</v>
      </c>
      <c r="H2758" s="42"/>
    </row>
    <row r="2759" spans="1:771 1026:1795 2050:2819 3074:3843 4098:4867 5122:5891 6146:6915 7170:7939 8194:8963 9218:9987 10242:11011 11266:12035 12290:13059 13314:14083 14338:15107 15362:16131" ht="18.600000000000001" x14ac:dyDescent="0.3">
      <c r="A2759" s="167"/>
      <c r="B2759" s="37" t="s">
        <v>2093</v>
      </c>
      <c r="C2759" s="48" t="s">
        <v>38</v>
      </c>
      <c r="D2759" s="39" t="s">
        <v>13</v>
      </c>
      <c r="E2759" s="44">
        <v>4</v>
      </c>
      <c r="F2759" s="161">
        <v>19479000</v>
      </c>
      <c r="G2759" s="40">
        <f>E2759*F2759</f>
        <v>77916000</v>
      </c>
      <c r="H2759" s="42"/>
    </row>
    <row r="2760" spans="1:771 1026:1795 2050:2819 3074:3843 4098:4867 5122:5891 6146:6915 7170:7939 8194:8963 9218:9987 10242:11011 11266:12035 12290:13059 13314:14083 14338:15107 15362:16131" ht="62.4" x14ac:dyDescent="0.3">
      <c r="A2760" s="167"/>
      <c r="B2760" s="37" t="s">
        <v>2094</v>
      </c>
      <c r="C2760" s="47" t="s">
        <v>35</v>
      </c>
      <c r="D2760" s="39"/>
      <c r="E2760" s="44"/>
      <c r="F2760" s="40"/>
      <c r="G2760" s="41">
        <f>SUM(G2761:G2764)</f>
        <v>13839448</v>
      </c>
      <c r="H2760" s="42" t="s">
        <v>235</v>
      </c>
    </row>
    <row r="2761" spans="1:771 1026:1795 2050:2819 3074:3843 4098:4867 5122:5891 6146:6915 7170:7939 8194:8963 9218:9987 10242:11011 11266:12035 12290:13059 13314:14083 14338:15107 15362:16131" ht="93.6" x14ac:dyDescent="0.3">
      <c r="A2761" s="167"/>
      <c r="B2761" s="37" t="s">
        <v>2095</v>
      </c>
      <c r="C2761" s="66" t="s">
        <v>2096</v>
      </c>
      <c r="D2761" s="39" t="s">
        <v>13</v>
      </c>
      <c r="E2761" s="44">
        <f>(2.08*3.6)-(1.8*2.08)</f>
        <v>3.7440000000000002</v>
      </c>
      <c r="F2761" s="40">
        <v>3592000</v>
      </c>
      <c r="G2761" s="40">
        <f>E2761*F2761</f>
        <v>13448448</v>
      </c>
      <c r="H2761" s="42" t="s">
        <v>2634</v>
      </c>
    </row>
    <row r="2762" spans="1:771 1026:1795 2050:2819 3074:3843 4098:4867 5122:5891 6146:6915 7170:7939 8194:8963 9218:9987 10242:11011 11266:12035 12290:13059 13314:14083 14338:15107 15362:16131" x14ac:dyDescent="0.3">
      <c r="A2762" s="167"/>
      <c r="B2762" s="37"/>
      <c r="C2762" s="66" t="s">
        <v>105</v>
      </c>
      <c r="D2762" s="39" t="s">
        <v>106</v>
      </c>
      <c r="E2762" s="44">
        <v>1</v>
      </c>
      <c r="F2762" s="40"/>
      <c r="G2762" s="40">
        <f>E2762*F2762</f>
        <v>0</v>
      </c>
      <c r="H2762" s="52" t="s">
        <v>2353</v>
      </c>
    </row>
    <row r="2763" spans="1:771 1026:1795 2050:2819 3074:3843 4098:4867 5122:5891 6146:6915 7170:7939 8194:8963 9218:9987 10242:11011 11266:12035 12290:13059 13314:14083 14338:15107 15362:16131" x14ac:dyDescent="0.3">
      <c r="A2763" s="170"/>
      <c r="B2763" s="130"/>
      <c r="C2763" s="82" t="s">
        <v>2291</v>
      </c>
      <c r="D2763" s="56" t="s">
        <v>2097</v>
      </c>
      <c r="E2763" s="71">
        <v>1</v>
      </c>
      <c r="F2763" s="57">
        <v>391000</v>
      </c>
      <c r="G2763" s="57">
        <f>E2763*F2763</f>
        <v>391000</v>
      </c>
      <c r="H2763" s="58"/>
    </row>
    <row r="2764" spans="1:771 1026:1795 2050:2819 3074:3843 4098:4867 5122:5891 6146:6915 7170:7939 8194:8963 9218:9987 10242:11011 11266:12035 12290:13059 13314:14083 14338:15107 15362:16131" s="35" customFormat="1" ht="65.400000000000006" thickBot="1" x14ac:dyDescent="0.35">
      <c r="A2764" s="53"/>
      <c r="B2764" s="54"/>
      <c r="C2764" s="55" t="s">
        <v>2331</v>
      </c>
      <c r="D2764" s="56"/>
      <c r="E2764" s="5"/>
      <c r="F2764" s="6"/>
      <c r="G2764" s="57"/>
      <c r="H2764" s="58"/>
    </row>
    <row r="2765" spans="1:771 1026:1795 2050:2819 3074:3843 4098:4867 5122:5891 6146:6915 7170:7939 8194:8963 9218:9987 10242:11011 11266:12035 12290:13059 13314:14083 14338:15107 15362:16131" s="177" customFormat="1" ht="31.8" thickBot="1" x14ac:dyDescent="0.35">
      <c r="A2765" s="174"/>
      <c r="B2765" s="155" t="s">
        <v>26</v>
      </c>
      <c r="C2765" s="175"/>
      <c r="D2765" s="23"/>
      <c r="E2765" s="176"/>
      <c r="F2765" s="159"/>
      <c r="G2765" s="159">
        <f>SUM(G2757:G2764)/2</f>
        <v>91755448</v>
      </c>
      <c r="H2765" s="160"/>
      <c r="IX2765" s="173"/>
      <c r="IY2765" s="173"/>
      <c r="ST2765" s="173"/>
      <c r="SU2765" s="173"/>
      <c r="ACP2765" s="173"/>
      <c r="ACQ2765" s="173"/>
      <c r="AML2765" s="173"/>
      <c r="AMM2765" s="173"/>
      <c r="AWH2765" s="173"/>
      <c r="AWI2765" s="173"/>
      <c r="BGD2765" s="173"/>
      <c r="BGE2765" s="173"/>
      <c r="BPZ2765" s="173"/>
      <c r="BQA2765" s="173"/>
      <c r="BZV2765" s="173"/>
      <c r="BZW2765" s="173"/>
      <c r="CJR2765" s="173"/>
      <c r="CJS2765" s="173"/>
      <c r="CTN2765" s="173"/>
      <c r="CTO2765" s="173"/>
      <c r="DDJ2765" s="173"/>
      <c r="DDK2765" s="173"/>
      <c r="DNF2765" s="173"/>
      <c r="DNG2765" s="173"/>
      <c r="DXB2765" s="173"/>
      <c r="DXC2765" s="173"/>
      <c r="EGX2765" s="173"/>
      <c r="EGY2765" s="173"/>
      <c r="EQT2765" s="173"/>
      <c r="EQU2765" s="173"/>
      <c r="FAP2765" s="173"/>
      <c r="FAQ2765" s="173"/>
      <c r="FKL2765" s="173"/>
      <c r="FKM2765" s="173"/>
      <c r="FUH2765" s="173"/>
      <c r="FUI2765" s="173"/>
      <c r="GED2765" s="173"/>
      <c r="GEE2765" s="173"/>
      <c r="GNZ2765" s="173"/>
      <c r="GOA2765" s="173"/>
      <c r="GXV2765" s="173"/>
      <c r="GXW2765" s="173"/>
      <c r="HHR2765" s="173"/>
      <c r="HHS2765" s="173"/>
      <c r="HRN2765" s="173"/>
      <c r="HRO2765" s="173"/>
      <c r="IBJ2765" s="173"/>
      <c r="IBK2765" s="173"/>
      <c r="ILF2765" s="173"/>
      <c r="ILG2765" s="173"/>
      <c r="IVB2765" s="173"/>
      <c r="IVC2765" s="173"/>
      <c r="JEX2765" s="173"/>
      <c r="JEY2765" s="173"/>
      <c r="JOT2765" s="173"/>
      <c r="JOU2765" s="173"/>
      <c r="JYP2765" s="173"/>
      <c r="JYQ2765" s="173"/>
      <c r="KIL2765" s="173"/>
      <c r="KIM2765" s="173"/>
      <c r="KSH2765" s="173"/>
      <c r="KSI2765" s="173"/>
      <c r="LCD2765" s="173"/>
      <c r="LCE2765" s="173"/>
      <c r="LLZ2765" s="173"/>
      <c r="LMA2765" s="173"/>
      <c r="LVV2765" s="173"/>
      <c r="LVW2765" s="173"/>
      <c r="MFR2765" s="173"/>
      <c r="MFS2765" s="173"/>
      <c r="MPN2765" s="173"/>
      <c r="MPO2765" s="173"/>
      <c r="MZJ2765" s="173"/>
      <c r="MZK2765" s="173"/>
      <c r="NJF2765" s="173"/>
      <c r="NJG2765" s="173"/>
      <c r="NTB2765" s="173"/>
      <c r="NTC2765" s="173"/>
      <c r="OCX2765" s="173"/>
      <c r="OCY2765" s="173"/>
      <c r="OMT2765" s="173"/>
      <c r="OMU2765" s="173"/>
      <c r="OWP2765" s="173"/>
      <c r="OWQ2765" s="173"/>
      <c r="PGL2765" s="173"/>
      <c r="PGM2765" s="173"/>
      <c r="PQH2765" s="173"/>
      <c r="PQI2765" s="173"/>
      <c r="QAD2765" s="173"/>
      <c r="QAE2765" s="173"/>
      <c r="QJZ2765" s="173"/>
      <c r="QKA2765" s="173"/>
      <c r="QTV2765" s="173"/>
      <c r="QTW2765" s="173"/>
      <c r="RDR2765" s="173"/>
      <c r="RDS2765" s="173"/>
      <c r="RNN2765" s="173"/>
      <c r="RNO2765" s="173"/>
      <c r="RXJ2765" s="173"/>
      <c r="RXK2765" s="173"/>
      <c r="SHF2765" s="173"/>
      <c r="SHG2765" s="173"/>
      <c r="SRB2765" s="173"/>
      <c r="SRC2765" s="173"/>
      <c r="TAX2765" s="173"/>
      <c r="TAY2765" s="173"/>
      <c r="TKT2765" s="173"/>
      <c r="TKU2765" s="173"/>
      <c r="TUP2765" s="173"/>
      <c r="TUQ2765" s="173"/>
      <c r="UEL2765" s="173"/>
      <c r="UEM2765" s="173"/>
      <c r="UOH2765" s="173"/>
      <c r="UOI2765" s="173"/>
      <c r="UYD2765" s="173"/>
      <c r="UYE2765" s="173"/>
      <c r="VHZ2765" s="173"/>
      <c r="VIA2765" s="173"/>
      <c r="VRV2765" s="173"/>
      <c r="VRW2765" s="173"/>
      <c r="WBR2765" s="173"/>
      <c r="WBS2765" s="173"/>
      <c r="WLN2765" s="173"/>
      <c r="WLO2765" s="173"/>
      <c r="WVJ2765" s="173"/>
      <c r="WVK2765" s="173"/>
    </row>
    <row r="2766" spans="1:771 1026:1795 2050:2819 3074:3843 4098:4867 5122:5891 6146:6915 7170:7939 8194:8963 9218:9987 10242:11011 11266:12035 12290:13059 13314:14083 14338:15107 15362:16131" ht="41.4" x14ac:dyDescent="0.3">
      <c r="A2766" s="88">
        <v>261</v>
      </c>
      <c r="B2766" s="61" t="s">
        <v>2098</v>
      </c>
      <c r="C2766" s="30" t="s">
        <v>2266</v>
      </c>
      <c r="D2766" s="89" t="s">
        <v>891</v>
      </c>
      <c r="E2766" s="142">
        <v>16</v>
      </c>
      <c r="F2766" s="90"/>
      <c r="G2766" s="33"/>
      <c r="H2766" s="34" t="s">
        <v>2099</v>
      </c>
    </row>
    <row r="2767" spans="1:771 1026:1795 2050:2819 3074:3843 4098:4867 5122:5891 6146:6915 7170:7939 8194:8963 9218:9987 10242:11011 11266:12035 12290:13059 13314:14083 14338:15107 15362:16131" x14ac:dyDescent="0.3">
      <c r="A2767" s="91"/>
      <c r="B2767" s="37" t="s">
        <v>2100</v>
      </c>
      <c r="C2767" s="38" t="s">
        <v>14</v>
      </c>
      <c r="D2767" s="92"/>
      <c r="E2767" s="93"/>
      <c r="F2767" s="94"/>
      <c r="G2767" s="41">
        <f>SUM(G2768)</f>
        <v>166464000</v>
      </c>
      <c r="H2767" s="93"/>
    </row>
    <row r="2768" spans="1:771 1026:1795 2050:2819 3074:3843 4098:4867 5122:5891 6146:6915 7170:7939 8194:8963 9218:9987 10242:11011 11266:12035 12290:13059 13314:14083 14338:15107 15362:16131" ht="31.2" x14ac:dyDescent="0.3">
      <c r="A2768" s="95"/>
      <c r="B2768" s="37" t="s">
        <v>2101</v>
      </c>
      <c r="C2768" s="48" t="s">
        <v>55</v>
      </c>
      <c r="D2768" s="96" t="s">
        <v>891</v>
      </c>
      <c r="E2768" s="143">
        <v>16</v>
      </c>
      <c r="F2768" s="153">
        <v>10404000</v>
      </c>
      <c r="G2768" s="40">
        <f>E2768*F2768</f>
        <v>166464000</v>
      </c>
      <c r="H2768" s="98"/>
    </row>
    <row r="2769" spans="1:771 1026:1795 2050:2819 3074:3843 4098:4867 5122:5891 6146:6915 7170:7939 8194:8963 9218:9987 10242:11011 11266:12035 12290:13059 13314:14083 14338:15107 15362:16131" ht="78" x14ac:dyDescent="0.3">
      <c r="A2769" s="95"/>
      <c r="B2769" s="46" t="s">
        <v>2102</v>
      </c>
      <c r="C2769" s="47" t="s">
        <v>35</v>
      </c>
      <c r="D2769" s="116"/>
      <c r="E2769" s="63"/>
      <c r="F2769" s="117"/>
      <c r="G2769" s="41">
        <f>SUM(G2770:G2773)</f>
        <v>24011824.5</v>
      </c>
      <c r="H2769" s="63"/>
    </row>
    <row r="2770" spans="1:771 1026:1795 2050:2819 3074:3843 4098:4867 5122:5891 6146:6915 7170:7939 8194:8963 9218:9987 10242:11011 11266:12035 12290:13059 13314:14083 14338:15107 15362:16131" x14ac:dyDescent="0.3">
      <c r="A2770" s="115"/>
      <c r="B2770" s="50" t="s">
        <v>2103</v>
      </c>
      <c r="C2770" s="75" t="s">
        <v>1799</v>
      </c>
      <c r="D2770" s="76" t="s">
        <v>891</v>
      </c>
      <c r="E2770" s="44">
        <f>2*8</f>
        <v>16</v>
      </c>
      <c r="F2770" s="74">
        <v>258000</v>
      </c>
      <c r="G2770" s="40">
        <f>E2770*F2770</f>
        <v>4128000</v>
      </c>
      <c r="H2770" s="42"/>
    </row>
    <row r="2771" spans="1:771 1026:1795 2050:2819 3074:3843 4098:4867 5122:5891 6146:6915 7170:7939 8194:8963 9218:9987 10242:11011 11266:12035 12290:13059 13314:14083 14338:15107 15362:16131" ht="31.2" x14ac:dyDescent="0.3">
      <c r="A2771" s="144"/>
      <c r="B2771" s="64"/>
      <c r="C2771" s="63" t="s">
        <v>2104</v>
      </c>
      <c r="D2771" s="76" t="s">
        <v>891</v>
      </c>
      <c r="E2771" s="44">
        <f>(2.6+4.5+2+0.5)*1.5</f>
        <v>14.399999999999999</v>
      </c>
      <c r="F2771" s="74">
        <v>1032000</v>
      </c>
      <c r="G2771" s="40">
        <f>E2771*F2771</f>
        <v>14860799.999999998</v>
      </c>
      <c r="H2771" s="42"/>
    </row>
    <row r="2772" spans="1:771 1026:1795 2050:2819 3074:3843 4098:4867 5122:5891 6146:6915 7170:7939 8194:8963 9218:9987 10242:11011 11266:12035 12290:13059 13314:14083 14338:15107 15362:16131" x14ac:dyDescent="0.3">
      <c r="A2772" s="36"/>
      <c r="B2772" s="37"/>
      <c r="C2772" s="75" t="s">
        <v>115</v>
      </c>
      <c r="D2772" s="76" t="s">
        <v>891</v>
      </c>
      <c r="E2772" s="73">
        <f>3*2.2</f>
        <v>6.6000000000000005</v>
      </c>
      <c r="F2772" s="40">
        <v>100000</v>
      </c>
      <c r="G2772" s="40">
        <f>E2772*F2772</f>
        <v>660000</v>
      </c>
      <c r="H2772" s="42"/>
    </row>
    <row r="2773" spans="1:771 1026:1795 2050:2819 3074:3843 4098:4867 5122:5891 6146:6915 7170:7939 8194:8963 9218:9987 10242:11011 11266:12035 12290:13059 13314:14083 14338:15107 15362:16131" x14ac:dyDescent="0.3">
      <c r="A2773" s="36"/>
      <c r="B2773" s="37"/>
      <c r="C2773" s="75" t="s">
        <v>1313</v>
      </c>
      <c r="D2773" s="76" t="s">
        <v>924</v>
      </c>
      <c r="E2773" s="73">
        <f>(0.45*0.45*1.7)*2</f>
        <v>0.6885</v>
      </c>
      <c r="F2773" s="40">
        <v>6337000</v>
      </c>
      <c r="G2773" s="40">
        <f>E2773*F2773</f>
        <v>4363024.5</v>
      </c>
      <c r="H2773" s="42"/>
    </row>
    <row r="2774" spans="1:771 1026:1795 2050:2819 3074:3843 4098:4867 5122:5891 6146:6915 7170:7939 8194:8963 9218:9987 10242:11011 11266:12035 12290:13059 13314:14083 14338:15107 15362:16131" x14ac:dyDescent="0.3">
      <c r="A2774" s="36"/>
      <c r="B2774" s="37"/>
      <c r="C2774" s="51" t="s">
        <v>20</v>
      </c>
      <c r="D2774" s="96"/>
      <c r="E2774" s="98"/>
      <c r="F2774" s="74"/>
      <c r="G2774" s="41">
        <f>SUM(G2775)</f>
        <v>18000</v>
      </c>
      <c r="H2774" s="52"/>
    </row>
    <row r="2775" spans="1:771 1026:1795 2050:2819 3074:3843 4098:4867 5122:5891 6146:6915 7170:7939 8194:8963 9218:9987 10242:11011 11266:12035 12290:13059 13314:14083 14338:15107 15362:16131" x14ac:dyDescent="0.3">
      <c r="A2775" s="36"/>
      <c r="B2775" s="37"/>
      <c r="C2775" s="75" t="s">
        <v>2105</v>
      </c>
      <c r="D2775" s="76" t="s">
        <v>22</v>
      </c>
      <c r="E2775" s="44">
        <v>18</v>
      </c>
      <c r="F2775" s="74">
        <v>1000</v>
      </c>
      <c r="G2775" s="40">
        <f>E2775*F2775</f>
        <v>18000</v>
      </c>
      <c r="H2775" s="42"/>
    </row>
    <row r="2776" spans="1:771 1026:1795 2050:2819 3074:3843 4098:4867 5122:5891 6146:6915 7170:7939 8194:8963 9218:9987 10242:11011 11266:12035 12290:13059 13314:14083 14338:15107 15362:16131" x14ac:dyDescent="0.3">
      <c r="A2776" s="36"/>
      <c r="B2776" s="37"/>
      <c r="C2776" s="51" t="s">
        <v>23</v>
      </c>
      <c r="D2776" s="39"/>
      <c r="E2776" s="1"/>
      <c r="F2776" s="2"/>
      <c r="G2776" s="41">
        <f>SUM(G2777:G2778)</f>
        <v>3060000</v>
      </c>
      <c r="H2776" s="52"/>
    </row>
    <row r="2777" spans="1:771 1026:1795 2050:2819 3074:3843 4098:4867 5122:5891 6146:6915 7170:7939 8194:8963 9218:9987 10242:11011 11266:12035 12290:13059 13314:14083 14338:15107 15362:16131" x14ac:dyDescent="0.3">
      <c r="A2777" s="53"/>
      <c r="B2777" s="54"/>
      <c r="C2777" s="67" t="s">
        <v>24</v>
      </c>
      <c r="D2777" s="56" t="s">
        <v>25</v>
      </c>
      <c r="E2777" s="5">
        <f>1*30*6</f>
        <v>180</v>
      </c>
      <c r="F2777" s="6">
        <v>17000</v>
      </c>
      <c r="G2777" s="57">
        <f>E2777*F2777</f>
        <v>3060000</v>
      </c>
      <c r="H2777" s="58"/>
    </row>
    <row r="2778" spans="1:771 1026:1795 2050:2819 3074:3843 4098:4867 5122:5891 6146:6915 7170:7939 8194:8963 9218:9987 10242:11011 11266:12035 12290:13059 13314:14083 14338:15107 15362:16131" s="35" customFormat="1" ht="65.400000000000006" thickBot="1" x14ac:dyDescent="0.35">
      <c r="A2778" s="53"/>
      <c r="B2778" s="54"/>
      <c r="C2778" s="55" t="s">
        <v>2331</v>
      </c>
      <c r="D2778" s="56"/>
      <c r="E2778" s="5"/>
      <c r="F2778" s="6"/>
      <c r="G2778" s="57"/>
      <c r="H2778" s="58"/>
    </row>
    <row r="2779" spans="1:771 1026:1795 2050:2819 3074:3843 4098:4867 5122:5891 6146:6915 7170:7939 8194:8963 9218:9987 10242:11011 11266:12035 12290:13059 13314:14083 14338:15107 15362:16131" s="177" customFormat="1" ht="31.8" thickBot="1" x14ac:dyDescent="0.35">
      <c r="A2779" s="154"/>
      <c r="B2779" s="155" t="s">
        <v>26</v>
      </c>
      <c r="C2779" s="156"/>
      <c r="D2779" s="154"/>
      <c r="E2779" s="157"/>
      <c r="F2779" s="158"/>
      <c r="G2779" s="159">
        <f>SUM(G2766:G2778)/2</f>
        <v>193553824.5</v>
      </c>
      <c r="H2779" s="160"/>
      <c r="IX2779" s="173"/>
      <c r="IY2779" s="173"/>
      <c r="ST2779" s="173"/>
      <c r="SU2779" s="173"/>
      <c r="ACP2779" s="173"/>
      <c r="ACQ2779" s="173"/>
      <c r="AML2779" s="173"/>
      <c r="AMM2779" s="173"/>
      <c r="AWH2779" s="173"/>
      <c r="AWI2779" s="173"/>
      <c r="BGD2779" s="173"/>
      <c r="BGE2779" s="173"/>
      <c r="BPZ2779" s="173"/>
      <c r="BQA2779" s="173"/>
      <c r="BZV2779" s="173"/>
      <c r="BZW2779" s="173"/>
      <c r="CJR2779" s="173"/>
      <c r="CJS2779" s="173"/>
      <c r="CTN2779" s="173"/>
      <c r="CTO2779" s="173"/>
      <c r="DDJ2779" s="173"/>
      <c r="DDK2779" s="173"/>
      <c r="DNF2779" s="173"/>
      <c r="DNG2779" s="173"/>
      <c r="DXB2779" s="173"/>
      <c r="DXC2779" s="173"/>
      <c r="EGX2779" s="173"/>
      <c r="EGY2779" s="173"/>
      <c r="EQT2779" s="173"/>
      <c r="EQU2779" s="173"/>
      <c r="FAP2779" s="173"/>
      <c r="FAQ2779" s="173"/>
      <c r="FKL2779" s="173"/>
      <c r="FKM2779" s="173"/>
      <c r="FUH2779" s="173"/>
      <c r="FUI2779" s="173"/>
      <c r="GED2779" s="173"/>
      <c r="GEE2779" s="173"/>
      <c r="GNZ2779" s="173"/>
      <c r="GOA2779" s="173"/>
      <c r="GXV2779" s="173"/>
      <c r="GXW2779" s="173"/>
      <c r="HHR2779" s="173"/>
      <c r="HHS2779" s="173"/>
      <c r="HRN2779" s="173"/>
      <c r="HRO2779" s="173"/>
      <c r="IBJ2779" s="173"/>
      <c r="IBK2779" s="173"/>
      <c r="ILF2779" s="173"/>
      <c r="ILG2779" s="173"/>
      <c r="IVB2779" s="173"/>
      <c r="IVC2779" s="173"/>
      <c r="JEX2779" s="173"/>
      <c r="JEY2779" s="173"/>
      <c r="JOT2779" s="173"/>
      <c r="JOU2779" s="173"/>
      <c r="JYP2779" s="173"/>
      <c r="JYQ2779" s="173"/>
      <c r="KIL2779" s="173"/>
      <c r="KIM2779" s="173"/>
      <c r="KSH2779" s="173"/>
      <c r="KSI2779" s="173"/>
      <c r="LCD2779" s="173"/>
      <c r="LCE2779" s="173"/>
      <c r="LLZ2779" s="173"/>
      <c r="LMA2779" s="173"/>
      <c r="LVV2779" s="173"/>
      <c r="LVW2779" s="173"/>
      <c r="MFR2779" s="173"/>
      <c r="MFS2779" s="173"/>
      <c r="MPN2779" s="173"/>
      <c r="MPO2779" s="173"/>
      <c r="MZJ2779" s="173"/>
      <c r="MZK2779" s="173"/>
      <c r="NJF2779" s="173"/>
      <c r="NJG2779" s="173"/>
      <c r="NTB2779" s="173"/>
      <c r="NTC2779" s="173"/>
      <c r="OCX2779" s="173"/>
      <c r="OCY2779" s="173"/>
      <c r="OMT2779" s="173"/>
      <c r="OMU2779" s="173"/>
      <c r="OWP2779" s="173"/>
      <c r="OWQ2779" s="173"/>
      <c r="PGL2779" s="173"/>
      <c r="PGM2779" s="173"/>
      <c r="PQH2779" s="173"/>
      <c r="PQI2779" s="173"/>
      <c r="QAD2779" s="173"/>
      <c r="QAE2779" s="173"/>
      <c r="QJZ2779" s="173"/>
      <c r="QKA2779" s="173"/>
      <c r="QTV2779" s="173"/>
      <c r="QTW2779" s="173"/>
      <c r="RDR2779" s="173"/>
      <c r="RDS2779" s="173"/>
      <c r="RNN2779" s="173"/>
      <c r="RNO2779" s="173"/>
      <c r="RXJ2779" s="173"/>
      <c r="RXK2779" s="173"/>
      <c r="SHF2779" s="173"/>
      <c r="SHG2779" s="173"/>
      <c r="SRB2779" s="173"/>
      <c r="SRC2779" s="173"/>
      <c r="TAX2779" s="173"/>
      <c r="TAY2779" s="173"/>
      <c r="TKT2779" s="173"/>
      <c r="TKU2779" s="173"/>
      <c r="TUP2779" s="173"/>
      <c r="TUQ2779" s="173"/>
      <c r="UEL2779" s="173"/>
      <c r="UEM2779" s="173"/>
      <c r="UOH2779" s="173"/>
      <c r="UOI2779" s="173"/>
      <c r="UYD2779" s="173"/>
      <c r="UYE2779" s="173"/>
      <c r="VHZ2779" s="173"/>
      <c r="VIA2779" s="173"/>
      <c r="VRV2779" s="173"/>
      <c r="VRW2779" s="173"/>
      <c r="WBR2779" s="173"/>
      <c r="WBS2779" s="173"/>
      <c r="WLN2779" s="173"/>
      <c r="WLO2779" s="173"/>
      <c r="WVJ2779" s="173"/>
      <c r="WVK2779" s="173"/>
    </row>
    <row r="2780" spans="1:771 1026:1795 2050:2819 3074:3843 4098:4867 5122:5891 6146:6915 7170:7939 8194:8963 9218:9987 10242:11011 11266:12035 12290:13059 13314:14083 14338:15107 15362:16131" ht="41.4" x14ac:dyDescent="0.3">
      <c r="A2780" s="88">
        <v>262</v>
      </c>
      <c r="B2780" s="61" t="s">
        <v>2106</v>
      </c>
      <c r="C2780" s="30" t="s">
        <v>2107</v>
      </c>
      <c r="D2780" s="89" t="s">
        <v>891</v>
      </c>
      <c r="E2780" s="78">
        <v>17.5</v>
      </c>
      <c r="F2780" s="90"/>
      <c r="G2780" s="33"/>
      <c r="H2780" s="34" t="s">
        <v>2265</v>
      </c>
    </row>
    <row r="2781" spans="1:771 1026:1795 2050:2819 3074:3843 4098:4867 5122:5891 6146:6915 7170:7939 8194:8963 9218:9987 10242:11011 11266:12035 12290:13059 13314:14083 14338:15107 15362:16131" x14ac:dyDescent="0.3">
      <c r="A2781" s="91"/>
      <c r="B2781" s="37" t="s">
        <v>109</v>
      </c>
      <c r="C2781" s="38" t="s">
        <v>14</v>
      </c>
      <c r="D2781" s="92"/>
      <c r="E2781" s="93"/>
      <c r="F2781" s="94"/>
      <c r="G2781" s="41">
        <f>SUM(G2782)</f>
        <v>340882500</v>
      </c>
      <c r="H2781" s="93"/>
    </row>
    <row r="2782" spans="1:771 1026:1795 2050:2819 3074:3843 4098:4867 5122:5891 6146:6915 7170:7939 8194:8963 9218:9987 10242:11011 11266:12035 12290:13059 13314:14083 14338:15107 15362:16131" x14ac:dyDescent="0.3">
      <c r="A2782" s="95"/>
      <c r="B2782" s="37" t="s">
        <v>2108</v>
      </c>
      <c r="C2782" s="48" t="s">
        <v>38</v>
      </c>
      <c r="D2782" s="96" t="s">
        <v>891</v>
      </c>
      <c r="E2782" s="63">
        <v>17.5</v>
      </c>
      <c r="F2782" s="161">
        <v>19479000</v>
      </c>
      <c r="G2782" s="40">
        <f>E2782*F2782</f>
        <v>340882500</v>
      </c>
      <c r="H2782" s="98"/>
    </row>
    <row r="2783" spans="1:771 1026:1795 2050:2819 3074:3843 4098:4867 5122:5891 6146:6915 7170:7939 8194:8963 9218:9987 10242:11011 11266:12035 12290:13059 13314:14083 14338:15107 15362:16131" ht="78" x14ac:dyDescent="0.3">
      <c r="A2783" s="95"/>
      <c r="B2783" s="46" t="s">
        <v>2109</v>
      </c>
      <c r="C2783" s="47" t="s">
        <v>35</v>
      </c>
      <c r="D2783" s="116"/>
      <c r="E2783" s="63"/>
      <c r="F2783" s="117"/>
      <c r="G2783" s="41">
        <f>SUM(G2784:G2787)</f>
        <v>0</v>
      </c>
      <c r="H2783" s="63"/>
    </row>
    <row r="2784" spans="1:771 1026:1795 2050:2819 3074:3843 4098:4867 5122:5891 6146:6915 7170:7939 8194:8963 9218:9987 10242:11011 11266:12035 12290:13059 13314:14083 14338:15107 15362:16131" ht="93.6" x14ac:dyDescent="0.3">
      <c r="A2784" s="115"/>
      <c r="B2784" s="50" t="s">
        <v>2110</v>
      </c>
      <c r="C2784" s="48" t="s">
        <v>2111</v>
      </c>
      <c r="D2784" s="39"/>
      <c r="E2784" s="44"/>
      <c r="F2784" s="74"/>
      <c r="G2784" s="40">
        <f>E2784*F2784</f>
        <v>0</v>
      </c>
      <c r="H2784" s="52"/>
    </row>
    <row r="2785" spans="1:771 1026:1795 2050:2819 3074:3843 4098:4867 5122:5891 6146:6915 7170:7939 8194:8963 9218:9987 10242:11011 11266:12035 12290:13059 13314:14083 14338:15107 15362:16131" x14ac:dyDescent="0.3">
      <c r="A2785" s="36"/>
      <c r="B2785" s="37"/>
      <c r="C2785" s="48" t="s">
        <v>15</v>
      </c>
      <c r="D2785" s="39"/>
      <c r="E2785" s="44"/>
      <c r="F2785" s="74"/>
      <c r="G2785" s="40">
        <f>E2785*F2785</f>
        <v>0</v>
      </c>
      <c r="H2785" s="52"/>
    </row>
    <row r="2786" spans="1:771 1026:1795 2050:2819 3074:3843 4098:4867 5122:5891 6146:6915 7170:7939 8194:8963 9218:9987 10242:11011 11266:12035 12290:13059 13314:14083 14338:15107 15362:16131" ht="31.2" x14ac:dyDescent="0.3">
      <c r="A2786" s="36"/>
      <c r="B2786" s="37"/>
      <c r="C2786" s="48" t="s">
        <v>1739</v>
      </c>
      <c r="D2786" s="39" t="s">
        <v>13</v>
      </c>
      <c r="E2786" s="44">
        <f>2*8.4</f>
        <v>16.8</v>
      </c>
      <c r="F2786" s="74"/>
      <c r="G2786" s="40">
        <f>E2786*F2786</f>
        <v>0</v>
      </c>
      <c r="H2786" s="111" t="s">
        <v>2453</v>
      </c>
    </row>
    <row r="2787" spans="1:771 1026:1795 2050:2819 3074:3843 4098:4867 5122:5891 6146:6915 7170:7939 8194:8963 9218:9987 10242:11011 11266:12035 12290:13059 13314:14083 14338:15107 15362:16131" ht="31.2" x14ac:dyDescent="0.3">
      <c r="A2787" s="36"/>
      <c r="B2787" s="37"/>
      <c r="C2787" s="48" t="s">
        <v>1740</v>
      </c>
      <c r="D2787" s="39" t="s">
        <v>13</v>
      </c>
      <c r="E2787" s="44">
        <f>(2+3.8)*7.85*0.5</f>
        <v>22.764999999999997</v>
      </c>
      <c r="F2787" s="74"/>
      <c r="G2787" s="40">
        <f>E2787*F2787</f>
        <v>0</v>
      </c>
      <c r="H2787" s="111" t="s">
        <v>2453</v>
      </c>
    </row>
    <row r="2788" spans="1:771 1026:1795 2050:2819 3074:3843 4098:4867 5122:5891 6146:6915 7170:7939 8194:8963 9218:9987 10242:11011 11266:12035 12290:13059 13314:14083 14338:15107 15362:16131" x14ac:dyDescent="0.3">
      <c r="A2788" s="36"/>
      <c r="B2788" s="37"/>
      <c r="C2788" s="51" t="s">
        <v>20</v>
      </c>
      <c r="D2788" s="96"/>
      <c r="E2788" s="98"/>
      <c r="F2788" s="74"/>
      <c r="G2788" s="41">
        <f>SUM(G2789:G2790)</f>
        <v>440000</v>
      </c>
      <c r="H2788" s="52"/>
    </row>
    <row r="2789" spans="1:771 1026:1795 2050:2819 3074:3843 4098:4867 5122:5891 6146:6915 7170:7939 8194:8963 9218:9987 10242:11011 11266:12035 12290:13059 13314:14083 14338:15107 15362:16131" ht="27.6" x14ac:dyDescent="0.3">
      <c r="A2789" s="53"/>
      <c r="B2789" s="130"/>
      <c r="C2789" s="145" t="s">
        <v>195</v>
      </c>
      <c r="D2789" s="83" t="s">
        <v>22</v>
      </c>
      <c r="E2789" s="71">
        <v>11</v>
      </c>
      <c r="F2789" s="103">
        <v>40000</v>
      </c>
      <c r="G2789" s="57">
        <f>E2789*F2789</f>
        <v>440000</v>
      </c>
      <c r="H2789" s="58" t="s">
        <v>1768</v>
      </c>
    </row>
    <row r="2790" spans="1:771 1026:1795 2050:2819 3074:3843 4098:4867 5122:5891 6146:6915 7170:7939 8194:8963 9218:9987 10242:11011 11266:12035 12290:13059 13314:14083 14338:15107 15362:16131" s="35" customFormat="1" ht="65.400000000000006" thickBot="1" x14ac:dyDescent="0.35">
      <c r="A2790" s="53"/>
      <c r="B2790" s="54"/>
      <c r="C2790" s="55" t="s">
        <v>2331</v>
      </c>
      <c r="D2790" s="56"/>
      <c r="E2790" s="5"/>
      <c r="F2790" s="6"/>
      <c r="G2790" s="57"/>
      <c r="H2790" s="58"/>
    </row>
    <row r="2791" spans="1:771 1026:1795 2050:2819 3074:3843 4098:4867 5122:5891 6146:6915 7170:7939 8194:8963 9218:9987 10242:11011 11266:12035 12290:13059 13314:14083 14338:15107 15362:16131" s="177" customFormat="1" ht="31.8" thickBot="1" x14ac:dyDescent="0.35">
      <c r="A2791" s="154"/>
      <c r="B2791" s="155" t="s">
        <v>26</v>
      </c>
      <c r="C2791" s="156"/>
      <c r="D2791" s="154"/>
      <c r="E2791" s="157"/>
      <c r="F2791" s="158"/>
      <c r="G2791" s="159">
        <f>SUM(G2780:G2790)/2</f>
        <v>341322500</v>
      </c>
      <c r="H2791" s="160"/>
      <c r="IX2791" s="173"/>
      <c r="IY2791" s="173"/>
      <c r="ST2791" s="173"/>
      <c r="SU2791" s="173"/>
      <c r="ACP2791" s="173"/>
      <c r="ACQ2791" s="173"/>
      <c r="AML2791" s="173"/>
      <c r="AMM2791" s="173"/>
      <c r="AWH2791" s="173"/>
      <c r="AWI2791" s="173"/>
      <c r="BGD2791" s="173"/>
      <c r="BGE2791" s="173"/>
      <c r="BPZ2791" s="173"/>
      <c r="BQA2791" s="173"/>
      <c r="BZV2791" s="173"/>
      <c r="BZW2791" s="173"/>
      <c r="CJR2791" s="173"/>
      <c r="CJS2791" s="173"/>
      <c r="CTN2791" s="173"/>
      <c r="CTO2791" s="173"/>
      <c r="DDJ2791" s="173"/>
      <c r="DDK2791" s="173"/>
      <c r="DNF2791" s="173"/>
      <c r="DNG2791" s="173"/>
      <c r="DXB2791" s="173"/>
      <c r="DXC2791" s="173"/>
      <c r="EGX2791" s="173"/>
      <c r="EGY2791" s="173"/>
      <c r="EQT2791" s="173"/>
      <c r="EQU2791" s="173"/>
      <c r="FAP2791" s="173"/>
      <c r="FAQ2791" s="173"/>
      <c r="FKL2791" s="173"/>
      <c r="FKM2791" s="173"/>
      <c r="FUH2791" s="173"/>
      <c r="FUI2791" s="173"/>
      <c r="GED2791" s="173"/>
      <c r="GEE2791" s="173"/>
      <c r="GNZ2791" s="173"/>
      <c r="GOA2791" s="173"/>
      <c r="GXV2791" s="173"/>
      <c r="GXW2791" s="173"/>
      <c r="HHR2791" s="173"/>
      <c r="HHS2791" s="173"/>
      <c r="HRN2791" s="173"/>
      <c r="HRO2791" s="173"/>
      <c r="IBJ2791" s="173"/>
      <c r="IBK2791" s="173"/>
      <c r="ILF2791" s="173"/>
      <c r="ILG2791" s="173"/>
      <c r="IVB2791" s="173"/>
      <c r="IVC2791" s="173"/>
      <c r="JEX2791" s="173"/>
      <c r="JEY2791" s="173"/>
      <c r="JOT2791" s="173"/>
      <c r="JOU2791" s="173"/>
      <c r="JYP2791" s="173"/>
      <c r="JYQ2791" s="173"/>
      <c r="KIL2791" s="173"/>
      <c r="KIM2791" s="173"/>
      <c r="KSH2791" s="173"/>
      <c r="KSI2791" s="173"/>
      <c r="LCD2791" s="173"/>
      <c r="LCE2791" s="173"/>
      <c r="LLZ2791" s="173"/>
      <c r="LMA2791" s="173"/>
      <c r="LVV2791" s="173"/>
      <c r="LVW2791" s="173"/>
      <c r="MFR2791" s="173"/>
      <c r="MFS2791" s="173"/>
      <c r="MPN2791" s="173"/>
      <c r="MPO2791" s="173"/>
      <c r="MZJ2791" s="173"/>
      <c r="MZK2791" s="173"/>
      <c r="NJF2791" s="173"/>
      <c r="NJG2791" s="173"/>
      <c r="NTB2791" s="173"/>
      <c r="NTC2791" s="173"/>
      <c r="OCX2791" s="173"/>
      <c r="OCY2791" s="173"/>
      <c r="OMT2791" s="173"/>
      <c r="OMU2791" s="173"/>
      <c r="OWP2791" s="173"/>
      <c r="OWQ2791" s="173"/>
      <c r="PGL2791" s="173"/>
      <c r="PGM2791" s="173"/>
      <c r="PQH2791" s="173"/>
      <c r="PQI2791" s="173"/>
      <c r="QAD2791" s="173"/>
      <c r="QAE2791" s="173"/>
      <c r="QJZ2791" s="173"/>
      <c r="QKA2791" s="173"/>
      <c r="QTV2791" s="173"/>
      <c r="QTW2791" s="173"/>
      <c r="RDR2791" s="173"/>
      <c r="RDS2791" s="173"/>
      <c r="RNN2791" s="173"/>
      <c r="RNO2791" s="173"/>
      <c r="RXJ2791" s="173"/>
      <c r="RXK2791" s="173"/>
      <c r="SHF2791" s="173"/>
      <c r="SHG2791" s="173"/>
      <c r="SRB2791" s="173"/>
      <c r="SRC2791" s="173"/>
      <c r="TAX2791" s="173"/>
      <c r="TAY2791" s="173"/>
      <c r="TKT2791" s="173"/>
      <c r="TKU2791" s="173"/>
      <c r="TUP2791" s="173"/>
      <c r="TUQ2791" s="173"/>
      <c r="UEL2791" s="173"/>
      <c r="UEM2791" s="173"/>
      <c r="UOH2791" s="173"/>
      <c r="UOI2791" s="173"/>
      <c r="UYD2791" s="173"/>
      <c r="UYE2791" s="173"/>
      <c r="VHZ2791" s="173"/>
      <c r="VIA2791" s="173"/>
      <c r="VRV2791" s="173"/>
      <c r="VRW2791" s="173"/>
      <c r="WBR2791" s="173"/>
      <c r="WBS2791" s="173"/>
      <c r="WLN2791" s="173"/>
      <c r="WLO2791" s="173"/>
      <c r="WVJ2791" s="173"/>
      <c r="WVK2791" s="173"/>
    </row>
    <row r="2792" spans="1:771 1026:1795 2050:2819 3074:3843 4098:4867 5122:5891 6146:6915 7170:7939 8194:8963 9218:9987 10242:11011 11266:12035 12290:13059 13314:14083 14338:15107 15362:16131" ht="31.2" x14ac:dyDescent="0.3">
      <c r="A2792" s="88">
        <v>263</v>
      </c>
      <c r="B2792" s="61" t="s">
        <v>2357</v>
      </c>
      <c r="C2792" s="30" t="s">
        <v>2360</v>
      </c>
      <c r="D2792" s="89" t="s">
        <v>891</v>
      </c>
      <c r="E2792" s="120">
        <v>9.9</v>
      </c>
      <c r="F2792" s="90"/>
      <c r="G2792" s="33"/>
      <c r="H2792" s="34" t="s">
        <v>2361</v>
      </c>
    </row>
    <row r="2793" spans="1:771 1026:1795 2050:2819 3074:3843 4098:4867 5122:5891 6146:6915 7170:7939 8194:8963 9218:9987 10242:11011 11266:12035 12290:13059 13314:14083 14338:15107 15362:16131" ht="78" x14ac:dyDescent="0.3">
      <c r="A2793" s="115"/>
      <c r="B2793" s="46" t="s">
        <v>2102</v>
      </c>
      <c r="C2793" s="38" t="s">
        <v>14</v>
      </c>
      <c r="D2793" s="92"/>
      <c r="E2793" s="121"/>
      <c r="F2793" s="117"/>
      <c r="G2793" s="41">
        <f>SUM(G2794)</f>
        <v>102999600</v>
      </c>
      <c r="H2793" s="42"/>
    </row>
    <row r="2794" spans="1:771 1026:1795 2050:2819 3074:3843 4098:4867 5122:5891 6146:6915 7170:7939 8194:8963 9218:9987 10242:11011 11266:12035 12290:13059 13314:14083 14338:15107 15362:16131" ht="31.2" x14ac:dyDescent="0.3">
      <c r="A2794" s="115"/>
      <c r="B2794" s="63" t="s">
        <v>2359</v>
      </c>
      <c r="C2794" s="48" t="s">
        <v>55</v>
      </c>
      <c r="D2794" s="96" t="s">
        <v>891</v>
      </c>
      <c r="E2794" s="121">
        <v>9.9</v>
      </c>
      <c r="F2794" s="182">
        <v>10404000</v>
      </c>
      <c r="G2794" s="40">
        <f>E2794*F2794</f>
        <v>102999600</v>
      </c>
      <c r="H2794" s="42"/>
    </row>
    <row r="2795" spans="1:771 1026:1795 2050:2819 3074:3843 4098:4867 5122:5891 6146:6915 7170:7939 8194:8963 9218:9987 10242:11011 11266:12035 12290:13059 13314:14083 14338:15107 15362:16131" x14ac:dyDescent="0.3">
      <c r="A2795" s="91"/>
      <c r="B2795" s="37"/>
      <c r="C2795" s="47" t="s">
        <v>35</v>
      </c>
      <c r="D2795" s="92"/>
      <c r="E2795" s="93"/>
      <c r="F2795" s="94"/>
      <c r="G2795" s="41">
        <f>SUM(G2796:G2797)</f>
        <v>0</v>
      </c>
      <c r="H2795" s="93"/>
    </row>
    <row r="2796" spans="1:771 1026:1795 2050:2819 3074:3843 4098:4867 5122:5891 6146:6915 7170:7939 8194:8963 9218:9987 10242:11011 11266:12035 12290:13059 13314:14083 14338:15107 15362:16131" ht="78" x14ac:dyDescent="0.3">
      <c r="A2796" s="122"/>
      <c r="B2796" s="54"/>
      <c r="C2796" s="123" t="s">
        <v>2358</v>
      </c>
      <c r="D2796" s="124" t="s">
        <v>891</v>
      </c>
      <c r="E2796" s="125">
        <f>2*4.8</f>
        <v>9.6</v>
      </c>
      <c r="F2796" s="146"/>
      <c r="G2796" s="57">
        <f>E2796*F2796</f>
        <v>0</v>
      </c>
      <c r="H2796" s="127" t="s">
        <v>2591</v>
      </c>
    </row>
    <row r="2797" spans="1:771 1026:1795 2050:2819 3074:3843 4098:4867 5122:5891 6146:6915 7170:7939 8194:8963 9218:9987 10242:11011 11266:12035 12290:13059 13314:14083 14338:15107 15362:16131" s="35" customFormat="1" ht="65.400000000000006" thickBot="1" x14ac:dyDescent="0.35">
      <c r="A2797" s="53"/>
      <c r="B2797" s="54"/>
      <c r="C2797" s="55" t="s">
        <v>2331</v>
      </c>
      <c r="D2797" s="56"/>
      <c r="E2797" s="5"/>
      <c r="F2797" s="6"/>
      <c r="G2797" s="57"/>
      <c r="H2797" s="58"/>
    </row>
    <row r="2798" spans="1:771 1026:1795 2050:2819 3074:3843 4098:4867 5122:5891 6146:6915 7170:7939 8194:8963 9218:9987 10242:11011 11266:12035 12290:13059 13314:14083 14338:15107 15362:16131" s="177" customFormat="1" ht="31.8" thickBot="1" x14ac:dyDescent="0.35">
      <c r="A2798" s="154"/>
      <c r="B2798" s="155" t="s">
        <v>26</v>
      </c>
      <c r="C2798" s="156"/>
      <c r="D2798" s="154"/>
      <c r="E2798" s="157"/>
      <c r="F2798" s="158"/>
      <c r="G2798" s="159">
        <f>SUM(G2792:G2797)/2</f>
        <v>102999600</v>
      </c>
      <c r="H2798" s="160"/>
      <c r="IX2798" s="173"/>
      <c r="IY2798" s="173"/>
      <c r="ST2798" s="173"/>
      <c r="SU2798" s="173"/>
      <c r="ACP2798" s="173"/>
      <c r="ACQ2798" s="173"/>
      <c r="AML2798" s="173"/>
      <c r="AMM2798" s="173"/>
      <c r="AWH2798" s="173"/>
      <c r="AWI2798" s="173"/>
      <c r="BGD2798" s="173"/>
      <c r="BGE2798" s="173"/>
      <c r="BPZ2798" s="173"/>
      <c r="BQA2798" s="173"/>
      <c r="BZV2798" s="173"/>
      <c r="BZW2798" s="173"/>
      <c r="CJR2798" s="173"/>
      <c r="CJS2798" s="173"/>
      <c r="CTN2798" s="173"/>
      <c r="CTO2798" s="173"/>
      <c r="DDJ2798" s="173"/>
      <c r="DDK2798" s="173"/>
      <c r="DNF2798" s="173"/>
      <c r="DNG2798" s="173"/>
      <c r="DXB2798" s="173"/>
      <c r="DXC2798" s="173"/>
      <c r="EGX2798" s="173"/>
      <c r="EGY2798" s="173"/>
      <c r="EQT2798" s="173"/>
      <c r="EQU2798" s="173"/>
      <c r="FAP2798" s="173"/>
      <c r="FAQ2798" s="173"/>
      <c r="FKL2798" s="173"/>
      <c r="FKM2798" s="173"/>
      <c r="FUH2798" s="173"/>
      <c r="FUI2798" s="173"/>
      <c r="GED2798" s="173"/>
      <c r="GEE2798" s="173"/>
      <c r="GNZ2798" s="173"/>
      <c r="GOA2798" s="173"/>
      <c r="GXV2798" s="173"/>
      <c r="GXW2798" s="173"/>
      <c r="HHR2798" s="173"/>
      <c r="HHS2798" s="173"/>
      <c r="HRN2798" s="173"/>
      <c r="HRO2798" s="173"/>
      <c r="IBJ2798" s="173"/>
      <c r="IBK2798" s="173"/>
      <c r="ILF2798" s="173"/>
      <c r="ILG2798" s="173"/>
      <c r="IVB2798" s="173"/>
      <c r="IVC2798" s="173"/>
      <c r="JEX2798" s="173"/>
      <c r="JEY2798" s="173"/>
      <c r="JOT2798" s="173"/>
      <c r="JOU2798" s="173"/>
      <c r="JYP2798" s="173"/>
      <c r="JYQ2798" s="173"/>
      <c r="KIL2798" s="173"/>
      <c r="KIM2798" s="173"/>
      <c r="KSH2798" s="173"/>
      <c r="KSI2798" s="173"/>
      <c r="LCD2798" s="173"/>
      <c r="LCE2798" s="173"/>
      <c r="LLZ2798" s="173"/>
      <c r="LMA2798" s="173"/>
      <c r="LVV2798" s="173"/>
      <c r="LVW2798" s="173"/>
      <c r="MFR2798" s="173"/>
      <c r="MFS2798" s="173"/>
      <c r="MPN2798" s="173"/>
      <c r="MPO2798" s="173"/>
      <c r="MZJ2798" s="173"/>
      <c r="MZK2798" s="173"/>
      <c r="NJF2798" s="173"/>
      <c r="NJG2798" s="173"/>
      <c r="NTB2798" s="173"/>
      <c r="NTC2798" s="173"/>
      <c r="OCX2798" s="173"/>
      <c r="OCY2798" s="173"/>
      <c r="OMT2798" s="173"/>
      <c r="OMU2798" s="173"/>
      <c r="OWP2798" s="173"/>
      <c r="OWQ2798" s="173"/>
      <c r="PGL2798" s="173"/>
      <c r="PGM2798" s="173"/>
      <c r="PQH2798" s="173"/>
      <c r="PQI2798" s="173"/>
      <c r="QAD2798" s="173"/>
      <c r="QAE2798" s="173"/>
      <c r="QJZ2798" s="173"/>
      <c r="QKA2798" s="173"/>
      <c r="QTV2798" s="173"/>
      <c r="QTW2798" s="173"/>
      <c r="RDR2798" s="173"/>
      <c r="RDS2798" s="173"/>
      <c r="RNN2798" s="173"/>
      <c r="RNO2798" s="173"/>
      <c r="RXJ2798" s="173"/>
      <c r="RXK2798" s="173"/>
      <c r="SHF2798" s="173"/>
      <c r="SHG2798" s="173"/>
      <c r="SRB2798" s="173"/>
      <c r="SRC2798" s="173"/>
      <c r="TAX2798" s="173"/>
      <c r="TAY2798" s="173"/>
      <c r="TKT2798" s="173"/>
      <c r="TKU2798" s="173"/>
      <c r="TUP2798" s="173"/>
      <c r="TUQ2798" s="173"/>
      <c r="UEL2798" s="173"/>
      <c r="UEM2798" s="173"/>
      <c r="UOH2798" s="173"/>
      <c r="UOI2798" s="173"/>
      <c r="UYD2798" s="173"/>
      <c r="UYE2798" s="173"/>
      <c r="VHZ2798" s="173"/>
      <c r="VIA2798" s="173"/>
      <c r="VRV2798" s="173"/>
      <c r="VRW2798" s="173"/>
      <c r="WBR2798" s="173"/>
      <c r="WBS2798" s="173"/>
      <c r="WLN2798" s="173"/>
      <c r="WLO2798" s="173"/>
      <c r="WVJ2798" s="173"/>
      <c r="WVK2798" s="173"/>
    </row>
    <row r="2799" spans="1:771 1026:1795 2050:2819 3074:3843 4098:4867 5122:5891 6146:6915 7170:7939 8194:8963 9218:9987 10242:11011 11266:12035 12290:13059 13314:14083 14338:15107 15362:16131" ht="31.2" x14ac:dyDescent="0.3">
      <c r="A2799" s="88">
        <v>264</v>
      </c>
      <c r="B2799" s="61" t="s">
        <v>2362</v>
      </c>
      <c r="C2799" s="30" t="s">
        <v>2364</v>
      </c>
      <c r="D2799" s="89" t="s">
        <v>891</v>
      </c>
      <c r="E2799" s="120">
        <v>11.6</v>
      </c>
      <c r="F2799" s="90"/>
      <c r="G2799" s="33"/>
      <c r="H2799" s="34" t="s">
        <v>2361</v>
      </c>
    </row>
    <row r="2800" spans="1:771 1026:1795 2050:2819 3074:3843 4098:4867 5122:5891 6146:6915 7170:7939 8194:8963 9218:9987 10242:11011 11266:12035 12290:13059 13314:14083 14338:15107 15362:16131" ht="46.8" x14ac:dyDescent="0.3">
      <c r="A2800" s="115"/>
      <c r="B2800" s="46" t="s">
        <v>2363</v>
      </c>
      <c r="C2800" s="38" t="s">
        <v>14</v>
      </c>
      <c r="D2800" s="92"/>
      <c r="E2800" s="121"/>
      <c r="F2800" s="117"/>
      <c r="G2800" s="41">
        <f>SUM(G2801)</f>
        <v>120686400</v>
      </c>
      <c r="H2800" s="42"/>
    </row>
    <row r="2801" spans="1:771 1026:1795 2050:2819 3074:3843 4098:4867 5122:5891 6146:6915 7170:7939 8194:8963 9218:9987 10242:11011 11266:12035 12290:13059 13314:14083 14338:15107 15362:16131" ht="31.2" x14ac:dyDescent="0.3">
      <c r="A2801" s="115"/>
      <c r="B2801" s="63" t="s">
        <v>2369</v>
      </c>
      <c r="C2801" s="48" t="s">
        <v>55</v>
      </c>
      <c r="D2801" s="96" t="s">
        <v>891</v>
      </c>
      <c r="E2801" s="121">
        <v>11.6</v>
      </c>
      <c r="F2801" s="182">
        <v>10404000</v>
      </c>
      <c r="G2801" s="40">
        <f>E2801*F2801</f>
        <v>120686400</v>
      </c>
      <c r="H2801" s="42"/>
    </row>
    <row r="2802" spans="1:771 1026:1795 2050:2819 3074:3843 4098:4867 5122:5891 6146:6915 7170:7939 8194:8963 9218:9987 10242:11011 11266:12035 12290:13059 13314:14083 14338:15107 15362:16131" s="35" customFormat="1" ht="65.400000000000006" thickBot="1" x14ac:dyDescent="0.35">
      <c r="A2802" s="53"/>
      <c r="B2802" s="54"/>
      <c r="C2802" s="55" t="s">
        <v>2331</v>
      </c>
      <c r="D2802" s="56"/>
      <c r="E2802" s="5"/>
      <c r="F2802" s="6"/>
      <c r="G2802" s="57"/>
      <c r="H2802" s="58"/>
    </row>
    <row r="2803" spans="1:771 1026:1795 2050:2819 3074:3843 4098:4867 5122:5891 6146:6915 7170:7939 8194:8963 9218:9987 10242:11011 11266:12035 12290:13059 13314:14083 14338:15107 15362:16131" s="177" customFormat="1" ht="31.8" thickBot="1" x14ac:dyDescent="0.35">
      <c r="A2803" s="154"/>
      <c r="B2803" s="155" t="s">
        <v>26</v>
      </c>
      <c r="C2803" s="156"/>
      <c r="D2803" s="154"/>
      <c r="E2803" s="157"/>
      <c r="F2803" s="158"/>
      <c r="G2803" s="159">
        <f>SUM(G2799:G2802)/2</f>
        <v>120686400</v>
      </c>
      <c r="H2803" s="160"/>
      <c r="IX2803" s="173"/>
      <c r="IY2803" s="173"/>
      <c r="ST2803" s="173"/>
      <c r="SU2803" s="173"/>
      <c r="ACP2803" s="173"/>
      <c r="ACQ2803" s="173"/>
      <c r="AML2803" s="173"/>
      <c r="AMM2803" s="173"/>
      <c r="AWH2803" s="173"/>
      <c r="AWI2803" s="173"/>
      <c r="BGD2803" s="173"/>
      <c r="BGE2803" s="173"/>
      <c r="BPZ2803" s="173"/>
      <c r="BQA2803" s="173"/>
      <c r="BZV2803" s="173"/>
      <c r="BZW2803" s="173"/>
      <c r="CJR2803" s="173"/>
      <c r="CJS2803" s="173"/>
      <c r="CTN2803" s="173"/>
      <c r="CTO2803" s="173"/>
      <c r="DDJ2803" s="173"/>
      <c r="DDK2803" s="173"/>
      <c r="DNF2803" s="173"/>
      <c r="DNG2803" s="173"/>
      <c r="DXB2803" s="173"/>
      <c r="DXC2803" s="173"/>
      <c r="EGX2803" s="173"/>
      <c r="EGY2803" s="173"/>
      <c r="EQT2803" s="173"/>
      <c r="EQU2803" s="173"/>
      <c r="FAP2803" s="173"/>
      <c r="FAQ2803" s="173"/>
      <c r="FKL2803" s="173"/>
      <c r="FKM2803" s="173"/>
      <c r="FUH2803" s="173"/>
      <c r="FUI2803" s="173"/>
      <c r="GED2803" s="173"/>
      <c r="GEE2803" s="173"/>
      <c r="GNZ2803" s="173"/>
      <c r="GOA2803" s="173"/>
      <c r="GXV2803" s="173"/>
      <c r="GXW2803" s="173"/>
      <c r="HHR2803" s="173"/>
      <c r="HHS2803" s="173"/>
      <c r="HRN2803" s="173"/>
      <c r="HRO2803" s="173"/>
      <c r="IBJ2803" s="173"/>
      <c r="IBK2803" s="173"/>
      <c r="ILF2803" s="173"/>
      <c r="ILG2803" s="173"/>
      <c r="IVB2803" s="173"/>
      <c r="IVC2803" s="173"/>
      <c r="JEX2803" s="173"/>
      <c r="JEY2803" s="173"/>
      <c r="JOT2803" s="173"/>
      <c r="JOU2803" s="173"/>
      <c r="JYP2803" s="173"/>
      <c r="JYQ2803" s="173"/>
      <c r="KIL2803" s="173"/>
      <c r="KIM2803" s="173"/>
      <c r="KSH2803" s="173"/>
      <c r="KSI2803" s="173"/>
      <c r="LCD2803" s="173"/>
      <c r="LCE2803" s="173"/>
      <c r="LLZ2803" s="173"/>
      <c r="LMA2803" s="173"/>
      <c r="LVV2803" s="173"/>
      <c r="LVW2803" s="173"/>
      <c r="MFR2803" s="173"/>
      <c r="MFS2803" s="173"/>
      <c r="MPN2803" s="173"/>
      <c r="MPO2803" s="173"/>
      <c r="MZJ2803" s="173"/>
      <c r="MZK2803" s="173"/>
      <c r="NJF2803" s="173"/>
      <c r="NJG2803" s="173"/>
      <c r="NTB2803" s="173"/>
      <c r="NTC2803" s="173"/>
      <c r="OCX2803" s="173"/>
      <c r="OCY2803" s="173"/>
      <c r="OMT2803" s="173"/>
      <c r="OMU2803" s="173"/>
      <c r="OWP2803" s="173"/>
      <c r="OWQ2803" s="173"/>
      <c r="PGL2803" s="173"/>
      <c r="PGM2803" s="173"/>
      <c r="PQH2803" s="173"/>
      <c r="PQI2803" s="173"/>
      <c r="QAD2803" s="173"/>
      <c r="QAE2803" s="173"/>
      <c r="QJZ2803" s="173"/>
      <c r="QKA2803" s="173"/>
      <c r="QTV2803" s="173"/>
      <c r="QTW2803" s="173"/>
      <c r="RDR2803" s="173"/>
      <c r="RDS2803" s="173"/>
      <c r="RNN2803" s="173"/>
      <c r="RNO2803" s="173"/>
      <c r="RXJ2803" s="173"/>
      <c r="RXK2803" s="173"/>
      <c r="SHF2803" s="173"/>
      <c r="SHG2803" s="173"/>
      <c r="SRB2803" s="173"/>
      <c r="SRC2803" s="173"/>
      <c r="TAX2803" s="173"/>
      <c r="TAY2803" s="173"/>
      <c r="TKT2803" s="173"/>
      <c r="TKU2803" s="173"/>
      <c r="TUP2803" s="173"/>
      <c r="TUQ2803" s="173"/>
      <c r="UEL2803" s="173"/>
      <c r="UEM2803" s="173"/>
      <c r="UOH2803" s="173"/>
      <c r="UOI2803" s="173"/>
      <c r="UYD2803" s="173"/>
      <c r="UYE2803" s="173"/>
      <c r="VHZ2803" s="173"/>
      <c r="VIA2803" s="173"/>
      <c r="VRV2803" s="173"/>
      <c r="VRW2803" s="173"/>
      <c r="WBR2803" s="173"/>
      <c r="WBS2803" s="173"/>
      <c r="WLN2803" s="173"/>
      <c r="WLO2803" s="173"/>
      <c r="WVJ2803" s="173"/>
      <c r="WVK2803" s="173"/>
    </row>
    <row r="2804" spans="1:771 1026:1795 2050:2819 3074:3843 4098:4867 5122:5891 6146:6915 7170:7939 8194:8963 9218:9987 10242:11011 11266:12035 12290:13059 13314:14083 14338:15107 15362:16131" ht="31.2" x14ac:dyDescent="0.3">
      <c r="A2804" s="88">
        <v>265</v>
      </c>
      <c r="B2804" s="61" t="s">
        <v>2365</v>
      </c>
      <c r="C2804" s="30" t="s">
        <v>2367</v>
      </c>
      <c r="D2804" s="89" t="s">
        <v>891</v>
      </c>
      <c r="E2804" s="120">
        <v>15.5</v>
      </c>
      <c r="F2804" s="90"/>
      <c r="G2804" s="33"/>
      <c r="H2804" s="34" t="s">
        <v>2361</v>
      </c>
    </row>
    <row r="2805" spans="1:771 1026:1795 2050:2819 3074:3843 4098:4867 5122:5891 6146:6915 7170:7939 8194:8963 9218:9987 10242:11011 11266:12035 12290:13059 13314:14083 14338:15107 15362:16131" ht="62.4" x14ac:dyDescent="0.3">
      <c r="A2805" s="115"/>
      <c r="B2805" s="46" t="s">
        <v>2366</v>
      </c>
      <c r="C2805" s="38" t="s">
        <v>14</v>
      </c>
      <c r="D2805" s="92"/>
      <c r="E2805" s="121"/>
      <c r="F2805" s="117"/>
      <c r="G2805" s="41">
        <f>SUM(G2806)</f>
        <v>161262000</v>
      </c>
      <c r="H2805" s="42"/>
    </row>
    <row r="2806" spans="1:771 1026:1795 2050:2819 3074:3843 4098:4867 5122:5891 6146:6915 7170:7939 8194:8963 9218:9987 10242:11011 11266:12035 12290:13059 13314:14083 14338:15107 15362:16131" ht="31.2" x14ac:dyDescent="0.3">
      <c r="A2806" s="115"/>
      <c r="B2806" s="63" t="s">
        <v>2369</v>
      </c>
      <c r="C2806" s="48" t="s">
        <v>55</v>
      </c>
      <c r="D2806" s="96" t="s">
        <v>891</v>
      </c>
      <c r="E2806" s="121">
        <v>15.5</v>
      </c>
      <c r="F2806" s="182">
        <v>10404000</v>
      </c>
      <c r="G2806" s="40">
        <f>E2806*F2806</f>
        <v>161262000</v>
      </c>
      <c r="H2806" s="42"/>
    </row>
    <row r="2807" spans="1:771 1026:1795 2050:2819 3074:3843 4098:4867 5122:5891 6146:6915 7170:7939 8194:8963 9218:9987 10242:11011 11266:12035 12290:13059 13314:14083 14338:15107 15362:16131" s="35" customFormat="1" ht="65.400000000000006" thickBot="1" x14ac:dyDescent="0.35">
      <c r="A2807" s="53"/>
      <c r="B2807" s="54"/>
      <c r="C2807" s="55" t="s">
        <v>2331</v>
      </c>
      <c r="D2807" s="56"/>
      <c r="E2807" s="5"/>
      <c r="F2807" s="6"/>
      <c r="G2807" s="57"/>
      <c r="H2807" s="58"/>
    </row>
    <row r="2808" spans="1:771 1026:1795 2050:2819 3074:3843 4098:4867 5122:5891 6146:6915 7170:7939 8194:8963 9218:9987 10242:11011 11266:12035 12290:13059 13314:14083 14338:15107 15362:16131" s="177" customFormat="1" ht="31.8" thickBot="1" x14ac:dyDescent="0.35">
      <c r="A2808" s="154"/>
      <c r="B2808" s="155" t="s">
        <v>26</v>
      </c>
      <c r="C2808" s="156"/>
      <c r="D2808" s="154"/>
      <c r="E2808" s="157"/>
      <c r="F2808" s="158"/>
      <c r="G2808" s="159">
        <f>SUM(G2804:G2807)/2</f>
        <v>161262000</v>
      </c>
      <c r="H2808" s="160"/>
      <c r="IX2808" s="173"/>
      <c r="IY2808" s="173"/>
      <c r="ST2808" s="173"/>
      <c r="SU2808" s="173"/>
      <c r="ACP2808" s="173"/>
      <c r="ACQ2808" s="173"/>
      <c r="AML2808" s="173"/>
      <c r="AMM2808" s="173"/>
      <c r="AWH2808" s="173"/>
      <c r="AWI2808" s="173"/>
      <c r="BGD2808" s="173"/>
      <c r="BGE2808" s="173"/>
      <c r="BPZ2808" s="173"/>
      <c r="BQA2808" s="173"/>
      <c r="BZV2808" s="173"/>
      <c r="BZW2808" s="173"/>
      <c r="CJR2808" s="173"/>
      <c r="CJS2808" s="173"/>
      <c r="CTN2808" s="173"/>
      <c r="CTO2808" s="173"/>
      <c r="DDJ2808" s="173"/>
      <c r="DDK2808" s="173"/>
      <c r="DNF2808" s="173"/>
      <c r="DNG2808" s="173"/>
      <c r="DXB2808" s="173"/>
      <c r="DXC2808" s="173"/>
      <c r="EGX2808" s="173"/>
      <c r="EGY2808" s="173"/>
      <c r="EQT2808" s="173"/>
      <c r="EQU2808" s="173"/>
      <c r="FAP2808" s="173"/>
      <c r="FAQ2808" s="173"/>
      <c r="FKL2808" s="173"/>
      <c r="FKM2808" s="173"/>
      <c r="FUH2808" s="173"/>
      <c r="FUI2808" s="173"/>
      <c r="GED2808" s="173"/>
      <c r="GEE2808" s="173"/>
      <c r="GNZ2808" s="173"/>
      <c r="GOA2808" s="173"/>
      <c r="GXV2808" s="173"/>
      <c r="GXW2808" s="173"/>
      <c r="HHR2808" s="173"/>
      <c r="HHS2808" s="173"/>
      <c r="HRN2808" s="173"/>
      <c r="HRO2808" s="173"/>
      <c r="IBJ2808" s="173"/>
      <c r="IBK2808" s="173"/>
      <c r="ILF2808" s="173"/>
      <c r="ILG2808" s="173"/>
      <c r="IVB2808" s="173"/>
      <c r="IVC2808" s="173"/>
      <c r="JEX2808" s="173"/>
      <c r="JEY2808" s="173"/>
      <c r="JOT2808" s="173"/>
      <c r="JOU2808" s="173"/>
      <c r="JYP2808" s="173"/>
      <c r="JYQ2808" s="173"/>
      <c r="KIL2808" s="173"/>
      <c r="KIM2808" s="173"/>
      <c r="KSH2808" s="173"/>
      <c r="KSI2808" s="173"/>
      <c r="LCD2808" s="173"/>
      <c r="LCE2808" s="173"/>
      <c r="LLZ2808" s="173"/>
      <c r="LMA2808" s="173"/>
      <c r="LVV2808" s="173"/>
      <c r="LVW2808" s="173"/>
      <c r="MFR2808" s="173"/>
      <c r="MFS2808" s="173"/>
      <c r="MPN2808" s="173"/>
      <c r="MPO2808" s="173"/>
      <c r="MZJ2808" s="173"/>
      <c r="MZK2808" s="173"/>
      <c r="NJF2808" s="173"/>
      <c r="NJG2808" s="173"/>
      <c r="NTB2808" s="173"/>
      <c r="NTC2808" s="173"/>
      <c r="OCX2808" s="173"/>
      <c r="OCY2808" s="173"/>
      <c r="OMT2808" s="173"/>
      <c r="OMU2808" s="173"/>
      <c r="OWP2808" s="173"/>
      <c r="OWQ2808" s="173"/>
      <c r="PGL2808" s="173"/>
      <c r="PGM2808" s="173"/>
      <c r="PQH2808" s="173"/>
      <c r="PQI2808" s="173"/>
      <c r="QAD2808" s="173"/>
      <c r="QAE2808" s="173"/>
      <c r="QJZ2808" s="173"/>
      <c r="QKA2808" s="173"/>
      <c r="QTV2808" s="173"/>
      <c r="QTW2808" s="173"/>
      <c r="RDR2808" s="173"/>
      <c r="RDS2808" s="173"/>
      <c r="RNN2808" s="173"/>
      <c r="RNO2808" s="173"/>
      <c r="RXJ2808" s="173"/>
      <c r="RXK2808" s="173"/>
      <c r="SHF2808" s="173"/>
      <c r="SHG2808" s="173"/>
      <c r="SRB2808" s="173"/>
      <c r="SRC2808" s="173"/>
      <c r="TAX2808" s="173"/>
      <c r="TAY2808" s="173"/>
      <c r="TKT2808" s="173"/>
      <c r="TKU2808" s="173"/>
      <c r="TUP2808" s="173"/>
      <c r="TUQ2808" s="173"/>
      <c r="UEL2808" s="173"/>
      <c r="UEM2808" s="173"/>
      <c r="UOH2808" s="173"/>
      <c r="UOI2808" s="173"/>
      <c r="UYD2808" s="173"/>
      <c r="UYE2808" s="173"/>
      <c r="VHZ2808" s="173"/>
      <c r="VIA2808" s="173"/>
      <c r="VRV2808" s="173"/>
      <c r="VRW2808" s="173"/>
      <c r="WBR2808" s="173"/>
      <c r="WBS2808" s="173"/>
      <c r="WLN2808" s="173"/>
      <c r="WLO2808" s="173"/>
      <c r="WVJ2808" s="173"/>
      <c r="WVK2808" s="173"/>
    </row>
    <row r="2809" spans="1:771 1026:1795 2050:2819 3074:3843 4098:4867 5122:5891 6146:6915 7170:7939 8194:8963 9218:9987 10242:11011 11266:12035 12290:13059 13314:14083 14338:15107 15362:16131" ht="31.2" x14ac:dyDescent="0.3">
      <c r="A2809" s="88">
        <v>266</v>
      </c>
      <c r="B2809" s="61" t="s">
        <v>2368</v>
      </c>
      <c r="C2809" s="30" t="s">
        <v>2370</v>
      </c>
      <c r="D2809" s="89" t="s">
        <v>891</v>
      </c>
      <c r="E2809" s="120">
        <v>12.3</v>
      </c>
      <c r="F2809" s="90"/>
      <c r="G2809" s="33"/>
      <c r="H2809" s="34" t="s">
        <v>2361</v>
      </c>
    </row>
    <row r="2810" spans="1:771 1026:1795 2050:2819 3074:3843 4098:4867 5122:5891 6146:6915 7170:7939 8194:8963 9218:9987 10242:11011 11266:12035 12290:13059 13314:14083 14338:15107 15362:16131" ht="46.8" x14ac:dyDescent="0.3">
      <c r="A2810" s="115"/>
      <c r="B2810" s="46" t="s">
        <v>2363</v>
      </c>
      <c r="C2810" s="38" t="s">
        <v>14</v>
      </c>
      <c r="D2810" s="92"/>
      <c r="E2810" s="121"/>
      <c r="F2810" s="117"/>
      <c r="G2810" s="41">
        <f>SUM(G2811)</f>
        <v>127969200</v>
      </c>
      <c r="H2810" s="42"/>
    </row>
    <row r="2811" spans="1:771 1026:1795 2050:2819 3074:3843 4098:4867 5122:5891 6146:6915 7170:7939 8194:8963 9218:9987 10242:11011 11266:12035 12290:13059 13314:14083 14338:15107 15362:16131" ht="31.2" x14ac:dyDescent="0.3">
      <c r="A2811" s="115"/>
      <c r="B2811" s="63" t="s">
        <v>2369</v>
      </c>
      <c r="C2811" s="48" t="s">
        <v>55</v>
      </c>
      <c r="D2811" s="96" t="s">
        <v>891</v>
      </c>
      <c r="E2811" s="121">
        <v>12.3</v>
      </c>
      <c r="F2811" s="182">
        <v>10404000</v>
      </c>
      <c r="G2811" s="40">
        <f>E2811*F2811</f>
        <v>127969200</v>
      </c>
      <c r="H2811" s="42"/>
    </row>
    <row r="2812" spans="1:771 1026:1795 2050:2819 3074:3843 4098:4867 5122:5891 6146:6915 7170:7939 8194:8963 9218:9987 10242:11011 11266:12035 12290:13059 13314:14083 14338:15107 15362:16131" s="35" customFormat="1" ht="65.400000000000006" thickBot="1" x14ac:dyDescent="0.35">
      <c r="A2812" s="53"/>
      <c r="B2812" s="54"/>
      <c r="C2812" s="55" t="s">
        <v>2331</v>
      </c>
      <c r="D2812" s="56"/>
      <c r="E2812" s="5"/>
      <c r="F2812" s="6"/>
      <c r="G2812" s="57"/>
      <c r="H2812" s="58"/>
    </row>
    <row r="2813" spans="1:771 1026:1795 2050:2819 3074:3843 4098:4867 5122:5891 6146:6915 7170:7939 8194:8963 9218:9987 10242:11011 11266:12035 12290:13059 13314:14083 14338:15107 15362:16131" s="177" customFormat="1" ht="31.8" thickBot="1" x14ac:dyDescent="0.35">
      <c r="A2813" s="154"/>
      <c r="B2813" s="155" t="s">
        <v>26</v>
      </c>
      <c r="C2813" s="156"/>
      <c r="D2813" s="154"/>
      <c r="E2813" s="157"/>
      <c r="F2813" s="158"/>
      <c r="G2813" s="159">
        <f>SUM(G2809:G2812)/2</f>
        <v>127969200</v>
      </c>
      <c r="H2813" s="160"/>
      <c r="IX2813" s="173"/>
      <c r="IY2813" s="173"/>
      <c r="ST2813" s="173"/>
      <c r="SU2813" s="173"/>
      <c r="ACP2813" s="173"/>
      <c r="ACQ2813" s="173"/>
      <c r="AML2813" s="173"/>
      <c r="AMM2813" s="173"/>
      <c r="AWH2813" s="173"/>
      <c r="AWI2813" s="173"/>
      <c r="BGD2813" s="173"/>
      <c r="BGE2813" s="173"/>
      <c r="BPZ2813" s="173"/>
      <c r="BQA2813" s="173"/>
      <c r="BZV2813" s="173"/>
      <c r="BZW2813" s="173"/>
      <c r="CJR2813" s="173"/>
      <c r="CJS2813" s="173"/>
      <c r="CTN2813" s="173"/>
      <c r="CTO2813" s="173"/>
      <c r="DDJ2813" s="173"/>
      <c r="DDK2813" s="173"/>
      <c r="DNF2813" s="173"/>
      <c r="DNG2813" s="173"/>
      <c r="DXB2813" s="173"/>
      <c r="DXC2813" s="173"/>
      <c r="EGX2813" s="173"/>
      <c r="EGY2813" s="173"/>
      <c r="EQT2813" s="173"/>
      <c r="EQU2813" s="173"/>
      <c r="FAP2813" s="173"/>
      <c r="FAQ2813" s="173"/>
      <c r="FKL2813" s="173"/>
      <c r="FKM2813" s="173"/>
      <c r="FUH2813" s="173"/>
      <c r="FUI2813" s="173"/>
      <c r="GED2813" s="173"/>
      <c r="GEE2813" s="173"/>
      <c r="GNZ2813" s="173"/>
      <c r="GOA2813" s="173"/>
      <c r="GXV2813" s="173"/>
      <c r="GXW2813" s="173"/>
      <c r="HHR2813" s="173"/>
      <c r="HHS2813" s="173"/>
      <c r="HRN2813" s="173"/>
      <c r="HRO2813" s="173"/>
      <c r="IBJ2813" s="173"/>
      <c r="IBK2813" s="173"/>
      <c r="ILF2813" s="173"/>
      <c r="ILG2813" s="173"/>
      <c r="IVB2813" s="173"/>
      <c r="IVC2813" s="173"/>
      <c r="JEX2813" s="173"/>
      <c r="JEY2813" s="173"/>
      <c r="JOT2813" s="173"/>
      <c r="JOU2813" s="173"/>
      <c r="JYP2813" s="173"/>
      <c r="JYQ2813" s="173"/>
      <c r="KIL2813" s="173"/>
      <c r="KIM2813" s="173"/>
      <c r="KSH2813" s="173"/>
      <c r="KSI2813" s="173"/>
      <c r="LCD2813" s="173"/>
      <c r="LCE2813" s="173"/>
      <c r="LLZ2813" s="173"/>
      <c r="LMA2813" s="173"/>
      <c r="LVV2813" s="173"/>
      <c r="LVW2813" s="173"/>
      <c r="MFR2813" s="173"/>
      <c r="MFS2813" s="173"/>
      <c r="MPN2813" s="173"/>
      <c r="MPO2813" s="173"/>
      <c r="MZJ2813" s="173"/>
      <c r="MZK2813" s="173"/>
      <c r="NJF2813" s="173"/>
      <c r="NJG2813" s="173"/>
      <c r="NTB2813" s="173"/>
      <c r="NTC2813" s="173"/>
      <c r="OCX2813" s="173"/>
      <c r="OCY2813" s="173"/>
      <c r="OMT2813" s="173"/>
      <c r="OMU2813" s="173"/>
      <c r="OWP2813" s="173"/>
      <c r="OWQ2813" s="173"/>
      <c r="PGL2813" s="173"/>
      <c r="PGM2813" s="173"/>
      <c r="PQH2813" s="173"/>
      <c r="PQI2813" s="173"/>
      <c r="QAD2813" s="173"/>
      <c r="QAE2813" s="173"/>
      <c r="QJZ2813" s="173"/>
      <c r="QKA2813" s="173"/>
      <c r="QTV2813" s="173"/>
      <c r="QTW2813" s="173"/>
      <c r="RDR2813" s="173"/>
      <c r="RDS2813" s="173"/>
      <c r="RNN2813" s="173"/>
      <c r="RNO2813" s="173"/>
      <c r="RXJ2813" s="173"/>
      <c r="RXK2813" s="173"/>
      <c r="SHF2813" s="173"/>
      <c r="SHG2813" s="173"/>
      <c r="SRB2813" s="173"/>
      <c r="SRC2813" s="173"/>
      <c r="TAX2813" s="173"/>
      <c r="TAY2813" s="173"/>
      <c r="TKT2813" s="173"/>
      <c r="TKU2813" s="173"/>
      <c r="TUP2813" s="173"/>
      <c r="TUQ2813" s="173"/>
      <c r="UEL2813" s="173"/>
      <c r="UEM2813" s="173"/>
      <c r="UOH2813" s="173"/>
      <c r="UOI2813" s="173"/>
      <c r="UYD2813" s="173"/>
      <c r="UYE2813" s="173"/>
      <c r="VHZ2813" s="173"/>
      <c r="VIA2813" s="173"/>
      <c r="VRV2813" s="173"/>
      <c r="VRW2813" s="173"/>
      <c r="WBR2813" s="173"/>
      <c r="WBS2813" s="173"/>
      <c r="WLN2813" s="173"/>
      <c r="WLO2813" s="173"/>
      <c r="WVJ2813" s="173"/>
      <c r="WVK2813" s="173"/>
    </row>
    <row r="2814" spans="1:771 1026:1795 2050:2819 3074:3843 4098:4867 5122:5891 6146:6915 7170:7939 8194:8963 9218:9987 10242:11011 11266:12035 12290:13059 13314:14083 14338:15107 15362:16131" s="35" customFormat="1" ht="16.2" x14ac:dyDescent="0.3">
      <c r="A2814" s="147" t="s">
        <v>2356</v>
      </c>
      <c r="B2814" s="60"/>
      <c r="C2814" s="148"/>
      <c r="D2814" s="149"/>
      <c r="E2814" s="150"/>
      <c r="F2814" s="151"/>
      <c r="G2814" s="33"/>
      <c r="H2814" s="152"/>
    </row>
    <row r="2815" spans="1:771 1026:1795 2050:2819 3074:3843 4098:4867 5122:5891 6146:6915 7170:7939 8194:8963 9218:9987 10242:11011 11266:12035 12290:13059 13314:14083 14338:15107 15362:16131" s="35" customFormat="1" ht="41.4" x14ac:dyDescent="0.3">
      <c r="A2815" s="36">
        <v>1</v>
      </c>
      <c r="B2815" s="70" t="s">
        <v>421</v>
      </c>
      <c r="C2815" s="42" t="s">
        <v>2163</v>
      </c>
      <c r="D2815" s="39"/>
      <c r="E2815" s="44"/>
      <c r="F2815" s="40"/>
      <c r="G2815" s="40"/>
      <c r="H2815" s="42" t="s">
        <v>422</v>
      </c>
    </row>
    <row r="2816" spans="1:771 1026:1795 2050:2819 3074:3843 4098:4867 5122:5891 6146:6915 7170:7939 8194:8963 9218:9987 10242:11011 11266:12035 12290:13059 13314:14083 14338:15107 15362:16131" s="35" customFormat="1" x14ac:dyDescent="0.3">
      <c r="A2816" s="36"/>
      <c r="B2816" s="72" t="s">
        <v>417</v>
      </c>
      <c r="C2816" s="47" t="s">
        <v>35</v>
      </c>
      <c r="D2816" s="39"/>
      <c r="E2816" s="44"/>
      <c r="F2816" s="40"/>
      <c r="G2816" s="41">
        <f>SUM(G2817:G2820)</f>
        <v>11331316.5</v>
      </c>
      <c r="H2816" s="42"/>
    </row>
    <row r="2817" spans="1:771 1026:1795 2050:2819 3074:3843 4098:4867 5122:5891 6146:6915 7170:7939 8194:8963 9218:9987 10242:11011 11266:12035 12290:13059 13314:14083 14338:15107 15362:16131" s="35" customFormat="1" ht="78" x14ac:dyDescent="0.3">
      <c r="A2817" s="36"/>
      <c r="B2817" s="72" t="s">
        <v>418</v>
      </c>
      <c r="C2817" s="48" t="s">
        <v>189</v>
      </c>
      <c r="D2817" s="39" t="s">
        <v>231</v>
      </c>
      <c r="E2817" s="44">
        <f>3.1*0.3*0.1</f>
        <v>9.2999999999999999E-2</v>
      </c>
      <c r="F2817" s="40">
        <v>1421000</v>
      </c>
      <c r="G2817" s="40">
        <f t="shared" ref="G2817:G2820" si="43">E2817*F2817</f>
        <v>132153</v>
      </c>
      <c r="H2817" s="42"/>
    </row>
    <row r="2818" spans="1:771 1026:1795 2050:2819 3074:3843 4098:4867 5122:5891 6146:6915 7170:7939 8194:8963 9218:9987 10242:11011 11266:12035 12290:13059 13314:14083 14338:15107 15362:16131" s="35" customFormat="1" x14ac:dyDescent="0.3">
      <c r="A2818" s="36"/>
      <c r="B2818" s="72" t="s">
        <v>414</v>
      </c>
      <c r="C2818" s="48" t="s">
        <v>260</v>
      </c>
      <c r="D2818" s="39" t="s">
        <v>231</v>
      </c>
      <c r="E2818" s="44">
        <f>(((2+2.1)*31.8)/2)*0.1</f>
        <v>6.5190000000000001</v>
      </c>
      <c r="F2818" s="40">
        <v>1533000</v>
      </c>
      <c r="G2818" s="40">
        <f t="shared" si="43"/>
        <v>9993627</v>
      </c>
      <c r="H2818" s="42"/>
    </row>
    <row r="2819" spans="1:771 1026:1795 2050:2819 3074:3843 4098:4867 5122:5891 6146:6915 7170:7939 8194:8963 9218:9987 10242:11011 11266:12035 12290:13059 13314:14083 14338:15107 15362:16131" s="35" customFormat="1" x14ac:dyDescent="0.3">
      <c r="A2819" s="36"/>
      <c r="B2819" s="50"/>
      <c r="C2819" s="48" t="s">
        <v>232</v>
      </c>
      <c r="D2819" s="39" t="s">
        <v>231</v>
      </c>
      <c r="E2819" s="44">
        <f>0.45*0.45*2.1</f>
        <v>0.42525000000000007</v>
      </c>
      <c r="F2819" s="40">
        <v>1946000</v>
      </c>
      <c r="G2819" s="40">
        <f t="shared" si="43"/>
        <v>827536.50000000012</v>
      </c>
      <c r="H2819" s="45"/>
    </row>
    <row r="2820" spans="1:771 1026:1795 2050:2819 3074:3843 4098:4867 5122:5891 6146:6915 7170:7939 8194:8963 9218:9987 10242:11011 11266:12035 12290:13059 13314:14083 14338:15107 15362:16131" s="35" customFormat="1" x14ac:dyDescent="0.3">
      <c r="A2820" s="36"/>
      <c r="B2820" s="46"/>
      <c r="C2820" s="48" t="s">
        <v>233</v>
      </c>
      <c r="D2820" s="39" t="s">
        <v>234</v>
      </c>
      <c r="E2820" s="44">
        <f>0.45*2.1</f>
        <v>0.94500000000000006</v>
      </c>
      <c r="F2820" s="40">
        <v>400000</v>
      </c>
      <c r="G2820" s="40">
        <f t="shared" si="43"/>
        <v>378000</v>
      </c>
      <c r="H2820" s="52"/>
    </row>
    <row r="2821" spans="1:771 1026:1795 2050:2819 3074:3843 4098:4867 5122:5891 6146:6915 7170:7939 8194:8963 9218:9987 10242:11011 11266:12035 12290:13059 13314:14083 14338:15107 15362:16131" s="35" customFormat="1" ht="65.400000000000006" thickBot="1" x14ac:dyDescent="0.35">
      <c r="A2821" s="53"/>
      <c r="B2821" s="54"/>
      <c r="C2821" s="55" t="s">
        <v>2331</v>
      </c>
      <c r="D2821" s="56"/>
      <c r="E2821" s="5"/>
      <c r="F2821" s="6"/>
      <c r="G2821" s="57"/>
      <c r="H2821" s="58"/>
    </row>
    <row r="2822" spans="1:771 1026:1795 2050:2819 3074:3843 4098:4867 5122:5891 6146:6915 7170:7939 8194:8963 9218:9987 10242:11011 11266:12035 12290:13059 13314:14083 14338:15107 15362:16131" s="59" customFormat="1" ht="31.8" thickBot="1" x14ac:dyDescent="0.35">
      <c r="A2822" s="154"/>
      <c r="B2822" s="155" t="s">
        <v>26</v>
      </c>
      <c r="C2822" s="156"/>
      <c r="D2822" s="154"/>
      <c r="E2822" s="157"/>
      <c r="F2822" s="158"/>
      <c r="G2822" s="159">
        <f>SUM(G2815:G2821)/2</f>
        <v>11331316.5</v>
      </c>
      <c r="H2822" s="160"/>
      <c r="IX2822" s="35"/>
      <c r="IY2822" s="35"/>
      <c r="ST2822" s="35"/>
      <c r="SU2822" s="35"/>
      <c r="ACP2822" s="35"/>
      <c r="ACQ2822" s="35"/>
      <c r="AML2822" s="35"/>
      <c r="AMM2822" s="35"/>
      <c r="AWH2822" s="35"/>
      <c r="AWI2822" s="35"/>
      <c r="BGD2822" s="35"/>
      <c r="BGE2822" s="35"/>
      <c r="BPZ2822" s="35"/>
      <c r="BQA2822" s="35"/>
      <c r="BZV2822" s="35"/>
      <c r="BZW2822" s="35"/>
      <c r="CJR2822" s="35"/>
      <c r="CJS2822" s="35"/>
      <c r="CTN2822" s="35"/>
      <c r="CTO2822" s="35"/>
      <c r="DDJ2822" s="35"/>
      <c r="DDK2822" s="35"/>
      <c r="DNF2822" s="35"/>
      <c r="DNG2822" s="35"/>
      <c r="DXB2822" s="35"/>
      <c r="DXC2822" s="35"/>
      <c r="EGX2822" s="35"/>
      <c r="EGY2822" s="35"/>
      <c r="EQT2822" s="35"/>
      <c r="EQU2822" s="35"/>
      <c r="FAP2822" s="35"/>
      <c r="FAQ2822" s="35"/>
      <c r="FKL2822" s="35"/>
      <c r="FKM2822" s="35"/>
      <c r="FUH2822" s="35"/>
      <c r="FUI2822" s="35"/>
      <c r="GED2822" s="35"/>
      <c r="GEE2822" s="35"/>
      <c r="GNZ2822" s="35"/>
      <c r="GOA2822" s="35"/>
      <c r="GXV2822" s="35"/>
      <c r="GXW2822" s="35"/>
      <c r="HHR2822" s="35"/>
      <c r="HHS2822" s="35"/>
      <c r="HRN2822" s="35"/>
      <c r="HRO2822" s="35"/>
      <c r="IBJ2822" s="35"/>
      <c r="IBK2822" s="35"/>
      <c r="ILF2822" s="35"/>
      <c r="ILG2822" s="35"/>
      <c r="IVB2822" s="35"/>
      <c r="IVC2822" s="35"/>
      <c r="JEX2822" s="35"/>
      <c r="JEY2822" s="35"/>
      <c r="JOT2822" s="35"/>
      <c r="JOU2822" s="35"/>
      <c r="JYP2822" s="35"/>
      <c r="JYQ2822" s="35"/>
      <c r="KIL2822" s="35"/>
      <c r="KIM2822" s="35"/>
      <c r="KSH2822" s="35"/>
      <c r="KSI2822" s="35"/>
      <c r="LCD2822" s="35"/>
      <c r="LCE2822" s="35"/>
      <c r="LLZ2822" s="35"/>
      <c r="LMA2822" s="35"/>
      <c r="LVV2822" s="35"/>
      <c r="LVW2822" s="35"/>
      <c r="MFR2822" s="35"/>
      <c r="MFS2822" s="35"/>
      <c r="MPN2822" s="35"/>
      <c r="MPO2822" s="35"/>
      <c r="MZJ2822" s="35"/>
      <c r="MZK2822" s="35"/>
      <c r="NJF2822" s="35"/>
      <c r="NJG2822" s="35"/>
      <c r="NTB2822" s="35"/>
      <c r="NTC2822" s="35"/>
      <c r="OCX2822" s="35"/>
      <c r="OCY2822" s="35"/>
      <c r="OMT2822" s="35"/>
      <c r="OMU2822" s="35"/>
      <c r="OWP2822" s="35"/>
      <c r="OWQ2822" s="35"/>
      <c r="PGL2822" s="35"/>
      <c r="PGM2822" s="35"/>
      <c r="PQH2822" s="35"/>
      <c r="PQI2822" s="35"/>
      <c r="QAD2822" s="35"/>
      <c r="QAE2822" s="35"/>
      <c r="QJZ2822" s="35"/>
      <c r="QKA2822" s="35"/>
      <c r="QTV2822" s="35"/>
      <c r="QTW2822" s="35"/>
      <c r="RDR2822" s="35"/>
      <c r="RDS2822" s="35"/>
      <c r="RNN2822" s="35"/>
      <c r="RNO2822" s="35"/>
      <c r="RXJ2822" s="35"/>
      <c r="RXK2822" s="35"/>
      <c r="SHF2822" s="35"/>
      <c r="SHG2822" s="35"/>
      <c r="SRB2822" s="35"/>
      <c r="SRC2822" s="35"/>
      <c r="TAX2822" s="35"/>
      <c r="TAY2822" s="35"/>
      <c r="TKT2822" s="35"/>
      <c r="TKU2822" s="35"/>
      <c r="TUP2822" s="35"/>
      <c r="TUQ2822" s="35"/>
      <c r="UEL2822" s="35"/>
      <c r="UEM2822" s="35"/>
      <c r="UOH2822" s="35"/>
      <c r="UOI2822" s="35"/>
      <c r="UYD2822" s="35"/>
      <c r="UYE2822" s="35"/>
      <c r="VHZ2822" s="35"/>
      <c r="VIA2822" s="35"/>
      <c r="VRV2822" s="35"/>
      <c r="VRW2822" s="35"/>
      <c r="WBR2822" s="35"/>
      <c r="WBS2822" s="35"/>
      <c r="WLN2822" s="35"/>
      <c r="WLO2822" s="35"/>
      <c r="WVJ2822" s="35"/>
      <c r="WVK2822" s="35"/>
    </row>
    <row r="2823" spans="1:771 1026:1795 2050:2819 3074:3843 4098:4867 5122:5891 6146:6915 7170:7939 8194:8963 9218:9987 10242:11011 11266:12035 12290:13059 13314:14083 14338:15107 15362:16131" s="35" customFormat="1" ht="41.4" x14ac:dyDescent="0.3">
      <c r="A2823" s="28">
        <v>2</v>
      </c>
      <c r="B2823" s="29" t="s">
        <v>423</v>
      </c>
      <c r="C2823" s="34" t="s">
        <v>2596</v>
      </c>
      <c r="D2823" s="31" t="s">
        <v>13</v>
      </c>
      <c r="E2823" s="32"/>
      <c r="F2823" s="33"/>
      <c r="G2823" s="33"/>
      <c r="H2823" s="34" t="s">
        <v>424</v>
      </c>
    </row>
    <row r="2824" spans="1:771 1026:1795 2050:2819 3074:3843 4098:4867 5122:5891 6146:6915 7170:7939 8194:8963 9218:9987 10242:11011 11266:12035 12290:13059 13314:14083 14338:15107 15362:16131" s="35" customFormat="1" x14ac:dyDescent="0.3">
      <c r="A2824" s="36"/>
      <c r="B2824" s="72" t="s">
        <v>425</v>
      </c>
      <c r="C2824" s="47" t="s">
        <v>35</v>
      </c>
      <c r="D2824" s="39"/>
      <c r="E2824" s="44"/>
      <c r="F2824" s="40"/>
      <c r="G2824" s="41">
        <f>SUM(G2825:G2827)</f>
        <v>1595620</v>
      </c>
      <c r="H2824" s="45"/>
    </row>
    <row r="2825" spans="1:771 1026:1795 2050:2819 3074:3843 4098:4867 5122:5891 6146:6915 7170:7939 8194:8963 9218:9987 10242:11011 11266:12035 12290:13059 13314:14083 14338:15107 15362:16131" s="35" customFormat="1" ht="62.4" x14ac:dyDescent="0.3">
      <c r="A2825" s="36"/>
      <c r="B2825" s="72" t="s">
        <v>426</v>
      </c>
      <c r="C2825" s="48" t="s">
        <v>428</v>
      </c>
      <c r="D2825" s="39" t="s">
        <v>234</v>
      </c>
      <c r="E2825" s="44">
        <v>7.4820000000000002</v>
      </c>
      <c r="F2825" s="40"/>
      <c r="G2825" s="40">
        <f>E2825*F2825</f>
        <v>0</v>
      </c>
      <c r="H2825" s="42" t="s">
        <v>2597</v>
      </c>
    </row>
    <row r="2826" spans="1:771 1026:1795 2050:2819 3074:3843 4098:4867 5122:5891 6146:6915 7170:7939 8194:8963 9218:9987 10242:11011 11266:12035 12290:13059 13314:14083 14338:15107 15362:16131" s="35" customFormat="1" ht="31.2" x14ac:dyDescent="0.3">
      <c r="A2826" s="36"/>
      <c r="B2826" s="72" t="s">
        <v>427</v>
      </c>
      <c r="C2826" s="48" t="s">
        <v>429</v>
      </c>
      <c r="D2826" s="39" t="s">
        <v>234</v>
      </c>
      <c r="E2826" s="44">
        <v>4.42</v>
      </c>
      <c r="F2826" s="40">
        <v>361000</v>
      </c>
      <c r="G2826" s="40">
        <f>E2826*F2826</f>
        <v>1595620</v>
      </c>
      <c r="H2826" s="52"/>
    </row>
    <row r="2827" spans="1:771 1026:1795 2050:2819 3074:3843 4098:4867 5122:5891 6146:6915 7170:7939 8194:8963 9218:9987 10242:11011 11266:12035 12290:13059 13314:14083 14338:15107 15362:16131" s="35" customFormat="1" ht="65.400000000000006" thickBot="1" x14ac:dyDescent="0.35">
      <c r="A2827" s="53"/>
      <c r="B2827" s="54"/>
      <c r="C2827" s="55" t="s">
        <v>2331</v>
      </c>
      <c r="D2827" s="56"/>
      <c r="E2827" s="5"/>
      <c r="F2827" s="6"/>
      <c r="G2827" s="57"/>
      <c r="H2827" s="58"/>
    </row>
    <row r="2828" spans="1:771 1026:1795 2050:2819 3074:3843 4098:4867 5122:5891 6146:6915 7170:7939 8194:8963 9218:9987 10242:11011 11266:12035 12290:13059 13314:14083 14338:15107 15362:16131" s="59" customFormat="1" ht="31.8" thickBot="1" x14ac:dyDescent="0.35">
      <c r="A2828" s="154"/>
      <c r="B2828" s="155" t="s">
        <v>26</v>
      </c>
      <c r="C2828" s="156"/>
      <c r="D2828" s="154"/>
      <c r="E2828" s="157"/>
      <c r="F2828" s="158"/>
      <c r="G2828" s="159">
        <f>SUM(G2823:G2827)/2</f>
        <v>1595620</v>
      </c>
      <c r="H2828" s="160"/>
      <c r="IX2828" s="35"/>
      <c r="IY2828" s="35"/>
      <c r="ST2828" s="35"/>
      <c r="SU2828" s="35"/>
      <c r="ACP2828" s="35"/>
      <c r="ACQ2828" s="35"/>
      <c r="AML2828" s="35"/>
      <c r="AMM2828" s="35"/>
      <c r="AWH2828" s="35"/>
      <c r="AWI2828" s="35"/>
      <c r="BGD2828" s="35"/>
      <c r="BGE2828" s="35"/>
      <c r="BPZ2828" s="35"/>
      <c r="BQA2828" s="35"/>
      <c r="BZV2828" s="35"/>
      <c r="BZW2828" s="35"/>
      <c r="CJR2828" s="35"/>
      <c r="CJS2828" s="35"/>
      <c r="CTN2828" s="35"/>
      <c r="CTO2828" s="35"/>
      <c r="DDJ2828" s="35"/>
      <c r="DDK2828" s="35"/>
      <c r="DNF2828" s="35"/>
      <c r="DNG2828" s="35"/>
      <c r="DXB2828" s="35"/>
      <c r="DXC2828" s="35"/>
      <c r="EGX2828" s="35"/>
      <c r="EGY2828" s="35"/>
      <c r="EQT2828" s="35"/>
      <c r="EQU2828" s="35"/>
      <c r="FAP2828" s="35"/>
      <c r="FAQ2828" s="35"/>
      <c r="FKL2828" s="35"/>
      <c r="FKM2828" s="35"/>
      <c r="FUH2828" s="35"/>
      <c r="FUI2828" s="35"/>
      <c r="GED2828" s="35"/>
      <c r="GEE2828" s="35"/>
      <c r="GNZ2828" s="35"/>
      <c r="GOA2828" s="35"/>
      <c r="GXV2828" s="35"/>
      <c r="GXW2828" s="35"/>
      <c r="HHR2828" s="35"/>
      <c r="HHS2828" s="35"/>
      <c r="HRN2828" s="35"/>
      <c r="HRO2828" s="35"/>
      <c r="IBJ2828" s="35"/>
      <c r="IBK2828" s="35"/>
      <c r="ILF2828" s="35"/>
      <c r="ILG2828" s="35"/>
      <c r="IVB2828" s="35"/>
      <c r="IVC2828" s="35"/>
      <c r="JEX2828" s="35"/>
      <c r="JEY2828" s="35"/>
      <c r="JOT2828" s="35"/>
      <c r="JOU2828" s="35"/>
      <c r="JYP2828" s="35"/>
      <c r="JYQ2828" s="35"/>
      <c r="KIL2828" s="35"/>
      <c r="KIM2828" s="35"/>
      <c r="KSH2828" s="35"/>
      <c r="KSI2828" s="35"/>
      <c r="LCD2828" s="35"/>
      <c r="LCE2828" s="35"/>
      <c r="LLZ2828" s="35"/>
      <c r="LMA2828" s="35"/>
      <c r="LVV2828" s="35"/>
      <c r="LVW2828" s="35"/>
      <c r="MFR2828" s="35"/>
      <c r="MFS2828" s="35"/>
      <c r="MPN2828" s="35"/>
      <c r="MPO2828" s="35"/>
      <c r="MZJ2828" s="35"/>
      <c r="MZK2828" s="35"/>
      <c r="NJF2828" s="35"/>
      <c r="NJG2828" s="35"/>
      <c r="NTB2828" s="35"/>
      <c r="NTC2828" s="35"/>
      <c r="OCX2828" s="35"/>
      <c r="OCY2828" s="35"/>
      <c r="OMT2828" s="35"/>
      <c r="OMU2828" s="35"/>
      <c r="OWP2828" s="35"/>
      <c r="OWQ2828" s="35"/>
      <c r="PGL2828" s="35"/>
      <c r="PGM2828" s="35"/>
      <c r="PQH2828" s="35"/>
      <c r="PQI2828" s="35"/>
      <c r="QAD2828" s="35"/>
      <c r="QAE2828" s="35"/>
      <c r="QJZ2828" s="35"/>
      <c r="QKA2828" s="35"/>
      <c r="QTV2828" s="35"/>
      <c r="QTW2828" s="35"/>
      <c r="RDR2828" s="35"/>
      <c r="RDS2828" s="35"/>
      <c r="RNN2828" s="35"/>
      <c r="RNO2828" s="35"/>
      <c r="RXJ2828" s="35"/>
      <c r="RXK2828" s="35"/>
      <c r="SHF2828" s="35"/>
      <c r="SHG2828" s="35"/>
      <c r="SRB2828" s="35"/>
      <c r="SRC2828" s="35"/>
      <c r="TAX2828" s="35"/>
      <c r="TAY2828" s="35"/>
      <c r="TKT2828" s="35"/>
      <c r="TKU2828" s="35"/>
      <c r="TUP2828" s="35"/>
      <c r="TUQ2828" s="35"/>
      <c r="UEL2828" s="35"/>
      <c r="UEM2828" s="35"/>
      <c r="UOH2828" s="35"/>
      <c r="UOI2828" s="35"/>
      <c r="UYD2828" s="35"/>
      <c r="UYE2828" s="35"/>
      <c r="VHZ2828" s="35"/>
      <c r="VIA2828" s="35"/>
      <c r="VRV2828" s="35"/>
      <c r="VRW2828" s="35"/>
      <c r="WBR2828" s="35"/>
      <c r="WBS2828" s="35"/>
      <c r="WLN2828" s="35"/>
      <c r="WLO2828" s="35"/>
      <c r="WVJ2828" s="35"/>
      <c r="WVK2828" s="35"/>
    </row>
    <row r="2829" spans="1:771 1026:1795 2050:2819 3074:3843 4098:4867 5122:5891 6146:6915 7170:7939 8194:8963 9218:9987 10242:11011 11266:12035 12290:13059 13314:14083 14338:15107 15362:16131" s="35" customFormat="1" ht="41.4" x14ac:dyDescent="0.3">
      <c r="A2829" s="28">
        <v>3</v>
      </c>
      <c r="B2829" s="29" t="s">
        <v>430</v>
      </c>
      <c r="C2829" s="34" t="s">
        <v>2164</v>
      </c>
      <c r="D2829" s="31"/>
      <c r="E2829" s="32"/>
      <c r="F2829" s="33"/>
      <c r="G2829" s="33"/>
      <c r="H2829" s="34" t="s">
        <v>424</v>
      </c>
    </row>
    <row r="2830" spans="1:771 1026:1795 2050:2819 3074:3843 4098:4867 5122:5891 6146:6915 7170:7939 8194:8963 9218:9987 10242:11011 11266:12035 12290:13059 13314:14083 14338:15107 15362:16131" s="35" customFormat="1" x14ac:dyDescent="0.3">
      <c r="A2830" s="36"/>
      <c r="B2830" s="72" t="s">
        <v>431</v>
      </c>
      <c r="C2830" s="47" t="s">
        <v>35</v>
      </c>
      <c r="D2830" s="39"/>
      <c r="E2830" s="44"/>
      <c r="F2830" s="40"/>
      <c r="G2830" s="41">
        <f>SUM(G2831:G2832)</f>
        <v>4386000</v>
      </c>
      <c r="H2830" s="42"/>
    </row>
    <row r="2831" spans="1:771 1026:1795 2050:2819 3074:3843 4098:4867 5122:5891 6146:6915 7170:7939 8194:8963 9218:9987 10242:11011 11266:12035 12290:13059 13314:14083 14338:15107 15362:16131" s="35" customFormat="1" ht="62.4" x14ac:dyDescent="0.3">
      <c r="A2831" s="36"/>
      <c r="B2831" s="72" t="s">
        <v>432</v>
      </c>
      <c r="C2831" s="48" t="s">
        <v>362</v>
      </c>
      <c r="D2831" s="39" t="s">
        <v>234</v>
      </c>
      <c r="E2831" s="44">
        <v>17</v>
      </c>
      <c r="F2831" s="40">
        <v>258000</v>
      </c>
      <c r="G2831" s="40">
        <f>E2831*F2831</f>
        <v>4386000</v>
      </c>
      <c r="H2831" s="42"/>
    </row>
    <row r="2832" spans="1:771 1026:1795 2050:2819 3074:3843 4098:4867 5122:5891 6146:6915 7170:7939 8194:8963 9218:9987 10242:11011 11266:12035 12290:13059 13314:14083 14338:15107 15362:16131" s="35" customFormat="1" ht="65.400000000000006" thickBot="1" x14ac:dyDescent="0.35">
      <c r="A2832" s="53"/>
      <c r="B2832" s="72" t="s">
        <v>433</v>
      </c>
      <c r="C2832" s="55" t="s">
        <v>2331</v>
      </c>
      <c r="D2832" s="56"/>
      <c r="E2832" s="5"/>
      <c r="F2832" s="6"/>
      <c r="G2832" s="57"/>
      <c r="H2832" s="58"/>
    </row>
    <row r="2833" spans="1:771 1026:1795 2050:2819 3074:3843 4098:4867 5122:5891 6146:6915 7170:7939 8194:8963 9218:9987 10242:11011 11266:12035 12290:13059 13314:14083 14338:15107 15362:16131" s="59" customFormat="1" ht="31.8" thickBot="1" x14ac:dyDescent="0.35">
      <c r="A2833" s="154"/>
      <c r="B2833" s="155" t="s">
        <v>26</v>
      </c>
      <c r="C2833" s="156"/>
      <c r="D2833" s="154"/>
      <c r="E2833" s="157"/>
      <c r="F2833" s="158"/>
      <c r="G2833" s="159">
        <f>SUM(G2829:G2832)/2</f>
        <v>4386000</v>
      </c>
      <c r="H2833" s="160"/>
      <c r="IX2833" s="35"/>
      <c r="IY2833" s="35"/>
      <c r="ST2833" s="35"/>
      <c r="SU2833" s="35"/>
      <c r="ACP2833" s="35"/>
      <c r="ACQ2833" s="35"/>
      <c r="AML2833" s="35"/>
      <c r="AMM2833" s="35"/>
      <c r="AWH2833" s="35"/>
      <c r="AWI2833" s="35"/>
      <c r="BGD2833" s="35"/>
      <c r="BGE2833" s="35"/>
      <c r="BPZ2833" s="35"/>
      <c r="BQA2833" s="35"/>
      <c r="BZV2833" s="35"/>
      <c r="BZW2833" s="35"/>
      <c r="CJR2833" s="35"/>
      <c r="CJS2833" s="35"/>
      <c r="CTN2833" s="35"/>
      <c r="CTO2833" s="35"/>
      <c r="DDJ2833" s="35"/>
      <c r="DDK2833" s="35"/>
      <c r="DNF2833" s="35"/>
      <c r="DNG2833" s="35"/>
      <c r="DXB2833" s="35"/>
      <c r="DXC2833" s="35"/>
      <c r="EGX2833" s="35"/>
      <c r="EGY2833" s="35"/>
      <c r="EQT2833" s="35"/>
      <c r="EQU2833" s="35"/>
      <c r="FAP2833" s="35"/>
      <c r="FAQ2833" s="35"/>
      <c r="FKL2833" s="35"/>
      <c r="FKM2833" s="35"/>
      <c r="FUH2833" s="35"/>
      <c r="FUI2833" s="35"/>
      <c r="GED2833" s="35"/>
      <c r="GEE2833" s="35"/>
      <c r="GNZ2833" s="35"/>
      <c r="GOA2833" s="35"/>
      <c r="GXV2833" s="35"/>
      <c r="GXW2833" s="35"/>
      <c r="HHR2833" s="35"/>
      <c r="HHS2833" s="35"/>
      <c r="HRN2833" s="35"/>
      <c r="HRO2833" s="35"/>
      <c r="IBJ2833" s="35"/>
      <c r="IBK2833" s="35"/>
      <c r="ILF2833" s="35"/>
      <c r="ILG2833" s="35"/>
      <c r="IVB2833" s="35"/>
      <c r="IVC2833" s="35"/>
      <c r="JEX2833" s="35"/>
      <c r="JEY2833" s="35"/>
      <c r="JOT2833" s="35"/>
      <c r="JOU2833" s="35"/>
      <c r="JYP2833" s="35"/>
      <c r="JYQ2833" s="35"/>
      <c r="KIL2833" s="35"/>
      <c r="KIM2833" s="35"/>
      <c r="KSH2833" s="35"/>
      <c r="KSI2833" s="35"/>
      <c r="LCD2833" s="35"/>
      <c r="LCE2833" s="35"/>
      <c r="LLZ2833" s="35"/>
      <c r="LMA2833" s="35"/>
      <c r="LVV2833" s="35"/>
      <c r="LVW2833" s="35"/>
      <c r="MFR2833" s="35"/>
      <c r="MFS2833" s="35"/>
      <c r="MPN2833" s="35"/>
      <c r="MPO2833" s="35"/>
      <c r="MZJ2833" s="35"/>
      <c r="MZK2833" s="35"/>
      <c r="NJF2833" s="35"/>
      <c r="NJG2833" s="35"/>
      <c r="NTB2833" s="35"/>
      <c r="NTC2833" s="35"/>
      <c r="OCX2833" s="35"/>
      <c r="OCY2833" s="35"/>
      <c r="OMT2833" s="35"/>
      <c r="OMU2833" s="35"/>
      <c r="OWP2833" s="35"/>
      <c r="OWQ2833" s="35"/>
      <c r="PGL2833" s="35"/>
      <c r="PGM2833" s="35"/>
      <c r="PQH2833" s="35"/>
      <c r="PQI2833" s="35"/>
      <c r="QAD2833" s="35"/>
      <c r="QAE2833" s="35"/>
      <c r="QJZ2833" s="35"/>
      <c r="QKA2833" s="35"/>
      <c r="QTV2833" s="35"/>
      <c r="QTW2833" s="35"/>
      <c r="RDR2833" s="35"/>
      <c r="RDS2833" s="35"/>
      <c r="RNN2833" s="35"/>
      <c r="RNO2833" s="35"/>
      <c r="RXJ2833" s="35"/>
      <c r="RXK2833" s="35"/>
      <c r="SHF2833" s="35"/>
      <c r="SHG2833" s="35"/>
      <c r="SRB2833" s="35"/>
      <c r="SRC2833" s="35"/>
      <c r="TAX2833" s="35"/>
      <c r="TAY2833" s="35"/>
      <c r="TKT2833" s="35"/>
      <c r="TKU2833" s="35"/>
      <c r="TUP2833" s="35"/>
      <c r="TUQ2833" s="35"/>
      <c r="UEL2833" s="35"/>
      <c r="UEM2833" s="35"/>
      <c r="UOH2833" s="35"/>
      <c r="UOI2833" s="35"/>
      <c r="UYD2833" s="35"/>
      <c r="UYE2833" s="35"/>
      <c r="VHZ2833" s="35"/>
      <c r="VIA2833" s="35"/>
      <c r="VRV2833" s="35"/>
      <c r="VRW2833" s="35"/>
      <c r="WBR2833" s="35"/>
      <c r="WBS2833" s="35"/>
      <c r="WLN2833" s="35"/>
      <c r="WLO2833" s="35"/>
      <c r="WVJ2833" s="35"/>
      <c r="WVK2833" s="35"/>
    </row>
    <row r="2834" spans="1:771 1026:1795 2050:2819 3074:3843 4098:4867 5122:5891 6146:6915 7170:7939 8194:8963 9218:9987 10242:11011 11266:12035 12290:13059 13314:14083 14338:15107 15362:16131" s="35" customFormat="1" ht="27.6" x14ac:dyDescent="0.3">
      <c r="A2834" s="28">
        <v>4</v>
      </c>
      <c r="B2834" s="29" t="s">
        <v>1087</v>
      </c>
      <c r="C2834" s="34" t="s">
        <v>2144</v>
      </c>
      <c r="D2834" s="31" t="s">
        <v>13</v>
      </c>
      <c r="E2834" s="32"/>
      <c r="F2834" s="33"/>
      <c r="G2834" s="33"/>
      <c r="H2834" s="34" t="s">
        <v>1089</v>
      </c>
    </row>
    <row r="2835" spans="1:771 1026:1795 2050:2819 3074:3843 4098:4867 5122:5891 6146:6915 7170:7939 8194:8963 9218:9987 10242:11011 11266:12035 12290:13059 13314:14083 14338:15107 15362:16131" s="35" customFormat="1" x14ac:dyDescent="0.3">
      <c r="A2835" s="36"/>
      <c r="B2835" s="72" t="s">
        <v>1088</v>
      </c>
      <c r="C2835" s="47" t="s">
        <v>35</v>
      </c>
      <c r="D2835" s="39"/>
      <c r="E2835" s="73"/>
      <c r="F2835" s="40"/>
      <c r="G2835" s="41">
        <f>SUM(G2836:G2840)</f>
        <v>24009200</v>
      </c>
      <c r="H2835" s="45"/>
    </row>
    <row r="2836" spans="1:771 1026:1795 2050:2819 3074:3843 4098:4867 5122:5891 6146:6915 7170:7939 8194:8963 9218:9987 10242:11011 11266:12035 12290:13059 13314:14083 14338:15107 15362:16131" s="35" customFormat="1" ht="93.6" x14ac:dyDescent="0.3">
      <c r="A2836" s="36"/>
      <c r="B2836" s="72" t="s">
        <v>1090</v>
      </c>
      <c r="C2836" s="66" t="s">
        <v>1093</v>
      </c>
      <c r="D2836" s="39" t="s">
        <v>13</v>
      </c>
      <c r="E2836" s="73">
        <f>1.75*4/2</f>
        <v>3.5</v>
      </c>
      <c r="F2836" s="40">
        <v>3592000</v>
      </c>
      <c r="G2836" s="40">
        <f>E2836*F2836</f>
        <v>12572000</v>
      </c>
      <c r="H2836" s="45" t="s">
        <v>2592</v>
      </c>
    </row>
    <row r="2837" spans="1:771 1026:1795 2050:2819 3074:3843 4098:4867 5122:5891 6146:6915 7170:7939 8194:8963 9218:9987 10242:11011 11266:12035 12290:13059 13314:14083 14338:15107 15362:16131" s="77" customFormat="1" ht="46.8" x14ac:dyDescent="0.3">
      <c r="A2837" s="36"/>
      <c r="B2837" s="72" t="s">
        <v>1077</v>
      </c>
      <c r="C2837" s="66" t="s">
        <v>1091</v>
      </c>
      <c r="D2837" s="39" t="s">
        <v>13</v>
      </c>
      <c r="E2837" s="73">
        <f>(4*2.72)-((3.05*4)/2)</f>
        <v>4.7800000000000011</v>
      </c>
      <c r="F2837" s="74">
        <v>540000</v>
      </c>
      <c r="G2837" s="40">
        <f>E2837*F2837</f>
        <v>2581200.0000000005</v>
      </c>
      <c r="H2837" s="45" t="s">
        <v>2375</v>
      </c>
    </row>
    <row r="2838" spans="1:771 1026:1795 2050:2819 3074:3843 4098:4867 5122:5891 6146:6915 7170:7939 8194:8963 9218:9987 10242:11011 11266:12035 12290:13059 13314:14083 14338:15107 15362:16131" s="77" customFormat="1" ht="46.8" x14ac:dyDescent="0.3">
      <c r="A2838" s="36"/>
      <c r="B2838" s="75"/>
      <c r="C2838" s="66" t="s">
        <v>1092</v>
      </c>
      <c r="D2838" s="39" t="s">
        <v>13</v>
      </c>
      <c r="E2838" s="73">
        <f>4.1*4</f>
        <v>16.399999999999999</v>
      </c>
      <c r="F2838" s="74">
        <v>540000</v>
      </c>
      <c r="G2838" s="40">
        <f>E2838*F2838</f>
        <v>8856000</v>
      </c>
      <c r="H2838" s="45" t="s">
        <v>2375</v>
      </c>
    </row>
    <row r="2839" spans="1:771 1026:1795 2050:2819 3074:3843 4098:4867 5122:5891 6146:6915 7170:7939 8194:8963 9218:9987 10242:11011 11266:12035 12290:13059 13314:14083 14338:15107 15362:16131" s="77" customFormat="1" x14ac:dyDescent="0.3">
      <c r="A2839" s="36"/>
      <c r="B2839" s="75"/>
      <c r="C2839" s="66" t="s">
        <v>105</v>
      </c>
      <c r="D2839" s="39" t="s">
        <v>106</v>
      </c>
      <c r="E2839" s="73">
        <v>1</v>
      </c>
      <c r="F2839" s="74"/>
      <c r="G2839" s="40">
        <f>E2839*F2839</f>
        <v>0</v>
      </c>
      <c r="H2839" s="52" t="s">
        <v>2353</v>
      </c>
    </row>
    <row r="2840" spans="1:771 1026:1795 2050:2819 3074:3843 4098:4867 5122:5891 6146:6915 7170:7939 8194:8963 9218:9987 10242:11011 11266:12035 12290:13059 13314:14083 14338:15107 15362:16131" s="35" customFormat="1" ht="65.400000000000006" thickBot="1" x14ac:dyDescent="0.35">
      <c r="A2840" s="53"/>
      <c r="B2840" s="54"/>
      <c r="C2840" s="55" t="s">
        <v>2331</v>
      </c>
      <c r="D2840" s="56"/>
      <c r="E2840" s="5"/>
      <c r="F2840" s="6"/>
      <c r="G2840" s="57"/>
      <c r="H2840" s="58"/>
    </row>
    <row r="2841" spans="1:771 1026:1795 2050:2819 3074:3843 4098:4867 5122:5891 6146:6915 7170:7939 8194:8963 9218:9987 10242:11011 11266:12035 12290:13059 13314:14083 14338:15107 15362:16131" s="59" customFormat="1" ht="31.8" thickBot="1" x14ac:dyDescent="0.35">
      <c r="A2841" s="154"/>
      <c r="B2841" s="155" t="s">
        <v>26</v>
      </c>
      <c r="C2841" s="156"/>
      <c r="D2841" s="154"/>
      <c r="E2841" s="157"/>
      <c r="F2841" s="158"/>
      <c r="G2841" s="159">
        <f>SUM(G2834:G2840)/2</f>
        <v>24009200</v>
      </c>
      <c r="H2841" s="160"/>
      <c r="IX2841" s="35"/>
      <c r="IY2841" s="35"/>
      <c r="ST2841" s="35"/>
      <c r="SU2841" s="35"/>
      <c r="ACP2841" s="35"/>
      <c r="ACQ2841" s="35"/>
      <c r="AML2841" s="35"/>
      <c r="AMM2841" s="35"/>
      <c r="AWH2841" s="35"/>
      <c r="AWI2841" s="35"/>
      <c r="BGD2841" s="35"/>
      <c r="BGE2841" s="35"/>
      <c r="BPZ2841" s="35"/>
      <c r="BQA2841" s="35"/>
      <c r="BZV2841" s="35"/>
      <c r="BZW2841" s="35"/>
      <c r="CJR2841" s="35"/>
      <c r="CJS2841" s="35"/>
      <c r="CTN2841" s="35"/>
      <c r="CTO2841" s="35"/>
      <c r="DDJ2841" s="35"/>
      <c r="DDK2841" s="35"/>
      <c r="DNF2841" s="35"/>
      <c r="DNG2841" s="35"/>
      <c r="DXB2841" s="35"/>
      <c r="DXC2841" s="35"/>
      <c r="EGX2841" s="35"/>
      <c r="EGY2841" s="35"/>
      <c r="EQT2841" s="35"/>
      <c r="EQU2841" s="35"/>
      <c r="FAP2841" s="35"/>
      <c r="FAQ2841" s="35"/>
      <c r="FKL2841" s="35"/>
      <c r="FKM2841" s="35"/>
      <c r="FUH2841" s="35"/>
      <c r="FUI2841" s="35"/>
      <c r="GED2841" s="35"/>
      <c r="GEE2841" s="35"/>
      <c r="GNZ2841" s="35"/>
      <c r="GOA2841" s="35"/>
      <c r="GXV2841" s="35"/>
      <c r="GXW2841" s="35"/>
      <c r="HHR2841" s="35"/>
      <c r="HHS2841" s="35"/>
      <c r="HRN2841" s="35"/>
      <c r="HRO2841" s="35"/>
      <c r="IBJ2841" s="35"/>
      <c r="IBK2841" s="35"/>
      <c r="ILF2841" s="35"/>
      <c r="ILG2841" s="35"/>
      <c r="IVB2841" s="35"/>
      <c r="IVC2841" s="35"/>
      <c r="JEX2841" s="35"/>
      <c r="JEY2841" s="35"/>
      <c r="JOT2841" s="35"/>
      <c r="JOU2841" s="35"/>
      <c r="JYP2841" s="35"/>
      <c r="JYQ2841" s="35"/>
      <c r="KIL2841" s="35"/>
      <c r="KIM2841" s="35"/>
      <c r="KSH2841" s="35"/>
      <c r="KSI2841" s="35"/>
      <c r="LCD2841" s="35"/>
      <c r="LCE2841" s="35"/>
      <c r="LLZ2841" s="35"/>
      <c r="LMA2841" s="35"/>
      <c r="LVV2841" s="35"/>
      <c r="LVW2841" s="35"/>
      <c r="MFR2841" s="35"/>
      <c r="MFS2841" s="35"/>
      <c r="MPN2841" s="35"/>
      <c r="MPO2841" s="35"/>
      <c r="MZJ2841" s="35"/>
      <c r="MZK2841" s="35"/>
      <c r="NJF2841" s="35"/>
      <c r="NJG2841" s="35"/>
      <c r="NTB2841" s="35"/>
      <c r="NTC2841" s="35"/>
      <c r="OCX2841" s="35"/>
      <c r="OCY2841" s="35"/>
      <c r="OMT2841" s="35"/>
      <c r="OMU2841" s="35"/>
      <c r="OWP2841" s="35"/>
      <c r="OWQ2841" s="35"/>
      <c r="PGL2841" s="35"/>
      <c r="PGM2841" s="35"/>
      <c r="PQH2841" s="35"/>
      <c r="PQI2841" s="35"/>
      <c r="QAD2841" s="35"/>
      <c r="QAE2841" s="35"/>
      <c r="QJZ2841" s="35"/>
      <c r="QKA2841" s="35"/>
      <c r="QTV2841" s="35"/>
      <c r="QTW2841" s="35"/>
      <c r="RDR2841" s="35"/>
      <c r="RDS2841" s="35"/>
      <c r="RNN2841" s="35"/>
      <c r="RNO2841" s="35"/>
      <c r="RXJ2841" s="35"/>
      <c r="RXK2841" s="35"/>
      <c r="SHF2841" s="35"/>
      <c r="SHG2841" s="35"/>
      <c r="SRB2841" s="35"/>
      <c r="SRC2841" s="35"/>
      <c r="TAX2841" s="35"/>
      <c r="TAY2841" s="35"/>
      <c r="TKT2841" s="35"/>
      <c r="TKU2841" s="35"/>
      <c r="TUP2841" s="35"/>
      <c r="TUQ2841" s="35"/>
      <c r="UEL2841" s="35"/>
      <c r="UEM2841" s="35"/>
      <c r="UOH2841" s="35"/>
      <c r="UOI2841" s="35"/>
      <c r="UYD2841" s="35"/>
      <c r="UYE2841" s="35"/>
      <c r="VHZ2841" s="35"/>
      <c r="VIA2841" s="35"/>
      <c r="VRV2841" s="35"/>
      <c r="VRW2841" s="35"/>
      <c r="WBR2841" s="35"/>
      <c r="WBS2841" s="35"/>
      <c r="WLN2841" s="35"/>
      <c r="WLO2841" s="35"/>
      <c r="WVJ2841" s="35"/>
      <c r="WVK2841" s="35"/>
    </row>
    <row r="2842" spans="1:771 1026:1795 2050:2819 3074:3843 4098:4867 5122:5891 6146:6915 7170:7939 8194:8963 9218:9987 10242:11011 11266:12035 12290:13059 13314:14083 14338:15107 15362:16131" s="35" customFormat="1" ht="27.6" x14ac:dyDescent="0.3">
      <c r="A2842" s="28">
        <v>5</v>
      </c>
      <c r="B2842" s="29" t="s">
        <v>1122</v>
      </c>
      <c r="C2842" s="34" t="s">
        <v>2144</v>
      </c>
      <c r="D2842" s="31" t="s">
        <v>13</v>
      </c>
      <c r="E2842" s="32"/>
      <c r="F2842" s="33"/>
      <c r="G2842" s="33"/>
      <c r="H2842" s="34" t="s">
        <v>1089</v>
      </c>
    </row>
    <row r="2843" spans="1:771 1026:1795 2050:2819 3074:3843 4098:4867 5122:5891 6146:6915 7170:7939 8194:8963 9218:9987 10242:11011 11266:12035 12290:13059 13314:14083 14338:15107 15362:16131" s="35" customFormat="1" x14ac:dyDescent="0.3">
      <c r="A2843" s="36"/>
      <c r="B2843" s="72" t="s">
        <v>1088</v>
      </c>
      <c r="C2843" s="47" t="s">
        <v>35</v>
      </c>
      <c r="D2843" s="39"/>
      <c r="E2843" s="73"/>
      <c r="F2843" s="40"/>
      <c r="G2843" s="41">
        <f>SUM(G2844:G2845)</f>
        <v>12931200</v>
      </c>
      <c r="H2843" s="45"/>
    </row>
    <row r="2844" spans="1:771 1026:1795 2050:2819 3074:3843 4098:4867 5122:5891 6146:6915 7170:7939 8194:8963 9218:9987 10242:11011 11266:12035 12290:13059 13314:14083 14338:15107 15362:16131" s="35" customFormat="1" ht="78" x14ac:dyDescent="0.3">
      <c r="A2844" s="36"/>
      <c r="B2844" s="72" t="s">
        <v>1123</v>
      </c>
      <c r="C2844" s="66" t="s">
        <v>1124</v>
      </c>
      <c r="D2844" s="39" t="s">
        <v>13</v>
      </c>
      <c r="E2844" s="73">
        <f>2*4.5</f>
        <v>9</v>
      </c>
      <c r="F2844" s="40">
        <f>3592000*40%</f>
        <v>1436800</v>
      </c>
      <c r="G2844" s="40">
        <f>E2844*F2844</f>
        <v>12931200</v>
      </c>
      <c r="H2844" s="45" t="s">
        <v>2593</v>
      </c>
    </row>
    <row r="2845" spans="1:771 1026:1795 2050:2819 3074:3843 4098:4867 5122:5891 6146:6915 7170:7939 8194:8963 9218:9987 10242:11011 11266:12035 12290:13059 13314:14083 14338:15107 15362:16131" s="35" customFormat="1" ht="65.400000000000006" thickBot="1" x14ac:dyDescent="0.35">
      <c r="A2845" s="53"/>
      <c r="B2845" s="54"/>
      <c r="C2845" s="55" t="s">
        <v>2331</v>
      </c>
      <c r="D2845" s="56"/>
      <c r="E2845" s="5"/>
      <c r="F2845" s="6"/>
      <c r="G2845" s="57"/>
      <c r="H2845" s="58"/>
    </row>
    <row r="2846" spans="1:771 1026:1795 2050:2819 3074:3843 4098:4867 5122:5891 6146:6915 7170:7939 8194:8963 9218:9987 10242:11011 11266:12035 12290:13059 13314:14083 14338:15107 15362:16131" s="59" customFormat="1" ht="31.8" thickBot="1" x14ac:dyDescent="0.35">
      <c r="A2846" s="154"/>
      <c r="B2846" s="155" t="s">
        <v>26</v>
      </c>
      <c r="C2846" s="156"/>
      <c r="D2846" s="154"/>
      <c r="E2846" s="157"/>
      <c r="F2846" s="158"/>
      <c r="G2846" s="159">
        <f>SUM(G2842:G2845)/2</f>
        <v>12931200</v>
      </c>
      <c r="H2846" s="160"/>
      <c r="IX2846" s="35"/>
      <c r="IY2846" s="35"/>
      <c r="ST2846" s="35"/>
      <c r="SU2846" s="35"/>
      <c r="ACP2846" s="35"/>
      <c r="ACQ2846" s="35"/>
      <c r="AML2846" s="35"/>
      <c r="AMM2846" s="35"/>
      <c r="AWH2846" s="35"/>
      <c r="AWI2846" s="35"/>
      <c r="BGD2846" s="35"/>
      <c r="BGE2846" s="35"/>
      <c r="BPZ2846" s="35"/>
      <c r="BQA2846" s="35"/>
      <c r="BZV2846" s="35"/>
      <c r="BZW2846" s="35"/>
      <c r="CJR2846" s="35"/>
      <c r="CJS2846" s="35"/>
      <c r="CTN2846" s="35"/>
      <c r="CTO2846" s="35"/>
      <c r="DDJ2846" s="35"/>
      <c r="DDK2846" s="35"/>
      <c r="DNF2846" s="35"/>
      <c r="DNG2846" s="35"/>
      <c r="DXB2846" s="35"/>
      <c r="DXC2846" s="35"/>
      <c r="EGX2846" s="35"/>
      <c r="EGY2846" s="35"/>
      <c r="EQT2846" s="35"/>
      <c r="EQU2846" s="35"/>
      <c r="FAP2846" s="35"/>
      <c r="FAQ2846" s="35"/>
      <c r="FKL2846" s="35"/>
      <c r="FKM2846" s="35"/>
      <c r="FUH2846" s="35"/>
      <c r="FUI2846" s="35"/>
      <c r="GED2846" s="35"/>
      <c r="GEE2846" s="35"/>
      <c r="GNZ2846" s="35"/>
      <c r="GOA2846" s="35"/>
      <c r="GXV2846" s="35"/>
      <c r="GXW2846" s="35"/>
      <c r="HHR2846" s="35"/>
      <c r="HHS2846" s="35"/>
      <c r="HRN2846" s="35"/>
      <c r="HRO2846" s="35"/>
      <c r="IBJ2846" s="35"/>
      <c r="IBK2846" s="35"/>
      <c r="ILF2846" s="35"/>
      <c r="ILG2846" s="35"/>
      <c r="IVB2846" s="35"/>
      <c r="IVC2846" s="35"/>
      <c r="JEX2846" s="35"/>
      <c r="JEY2846" s="35"/>
      <c r="JOT2846" s="35"/>
      <c r="JOU2846" s="35"/>
      <c r="JYP2846" s="35"/>
      <c r="JYQ2846" s="35"/>
      <c r="KIL2846" s="35"/>
      <c r="KIM2846" s="35"/>
      <c r="KSH2846" s="35"/>
      <c r="KSI2846" s="35"/>
      <c r="LCD2846" s="35"/>
      <c r="LCE2846" s="35"/>
      <c r="LLZ2846" s="35"/>
      <c r="LMA2846" s="35"/>
      <c r="LVV2846" s="35"/>
      <c r="LVW2846" s="35"/>
      <c r="MFR2846" s="35"/>
      <c r="MFS2846" s="35"/>
      <c r="MPN2846" s="35"/>
      <c r="MPO2846" s="35"/>
      <c r="MZJ2846" s="35"/>
      <c r="MZK2846" s="35"/>
      <c r="NJF2846" s="35"/>
      <c r="NJG2846" s="35"/>
      <c r="NTB2846" s="35"/>
      <c r="NTC2846" s="35"/>
      <c r="OCX2846" s="35"/>
      <c r="OCY2846" s="35"/>
      <c r="OMT2846" s="35"/>
      <c r="OMU2846" s="35"/>
      <c r="OWP2846" s="35"/>
      <c r="OWQ2846" s="35"/>
      <c r="PGL2846" s="35"/>
      <c r="PGM2846" s="35"/>
      <c r="PQH2846" s="35"/>
      <c r="PQI2846" s="35"/>
      <c r="QAD2846" s="35"/>
      <c r="QAE2846" s="35"/>
      <c r="QJZ2846" s="35"/>
      <c r="QKA2846" s="35"/>
      <c r="QTV2846" s="35"/>
      <c r="QTW2846" s="35"/>
      <c r="RDR2846" s="35"/>
      <c r="RDS2846" s="35"/>
      <c r="RNN2846" s="35"/>
      <c r="RNO2846" s="35"/>
      <c r="RXJ2846" s="35"/>
      <c r="RXK2846" s="35"/>
      <c r="SHF2846" s="35"/>
      <c r="SHG2846" s="35"/>
      <c r="SRB2846" s="35"/>
      <c r="SRC2846" s="35"/>
      <c r="TAX2846" s="35"/>
      <c r="TAY2846" s="35"/>
      <c r="TKT2846" s="35"/>
      <c r="TKU2846" s="35"/>
      <c r="TUP2846" s="35"/>
      <c r="TUQ2846" s="35"/>
      <c r="UEL2846" s="35"/>
      <c r="UEM2846" s="35"/>
      <c r="UOH2846" s="35"/>
      <c r="UOI2846" s="35"/>
      <c r="UYD2846" s="35"/>
      <c r="UYE2846" s="35"/>
      <c r="VHZ2846" s="35"/>
      <c r="VIA2846" s="35"/>
      <c r="VRV2846" s="35"/>
      <c r="VRW2846" s="35"/>
      <c r="WBR2846" s="35"/>
      <c r="WBS2846" s="35"/>
      <c r="WLN2846" s="35"/>
      <c r="WLO2846" s="35"/>
      <c r="WVJ2846" s="35"/>
      <c r="WVK2846" s="35"/>
    </row>
    <row r="2847" spans="1:771 1026:1795 2050:2819 3074:3843 4098:4867 5122:5891 6146:6915 7170:7939 8194:8963 9218:9987 10242:11011 11266:12035 12290:13059 13314:14083 14338:15107 15362:16131" s="35" customFormat="1" ht="27.6" x14ac:dyDescent="0.3">
      <c r="A2847" s="28">
        <v>6</v>
      </c>
      <c r="B2847" s="29" t="s">
        <v>1132</v>
      </c>
      <c r="C2847" s="34" t="s">
        <v>2144</v>
      </c>
      <c r="D2847" s="31"/>
      <c r="E2847" s="32"/>
      <c r="F2847" s="33"/>
      <c r="G2847" s="33"/>
      <c r="H2847" s="34" t="s">
        <v>1089</v>
      </c>
    </row>
    <row r="2848" spans="1:771 1026:1795 2050:2819 3074:3843 4098:4867 5122:5891 6146:6915 7170:7939 8194:8963 9218:9987 10242:11011 11266:12035 12290:13059 13314:14083 14338:15107 15362:16131" s="35" customFormat="1" x14ac:dyDescent="0.3">
      <c r="A2848" s="36"/>
      <c r="B2848" s="72" t="s">
        <v>1133</v>
      </c>
      <c r="C2848" s="47" t="s">
        <v>35</v>
      </c>
      <c r="D2848" s="39"/>
      <c r="E2848" s="73"/>
      <c r="F2848" s="40"/>
      <c r="G2848" s="41">
        <f>SUM(G2849:G2850)</f>
        <v>34849584</v>
      </c>
      <c r="H2848" s="45"/>
    </row>
    <row r="2849" spans="1:771 1026:1795 2050:2819 3074:3843 4098:4867 5122:5891 6146:6915 7170:7939 8194:8963 9218:9987 10242:11011 11266:12035 12290:13059 13314:14083 14338:15107 15362:16131" s="35" customFormat="1" ht="78" x14ac:dyDescent="0.3">
      <c r="A2849" s="36"/>
      <c r="B2849" s="72" t="s">
        <v>1134</v>
      </c>
      <c r="C2849" s="66" t="s">
        <v>1135</v>
      </c>
      <c r="D2849" s="39" t="s">
        <v>13</v>
      </c>
      <c r="E2849" s="73">
        <f>2.1*4.62</f>
        <v>9.702</v>
      </c>
      <c r="F2849" s="40">
        <v>3592000</v>
      </c>
      <c r="G2849" s="40">
        <f>E2849*F2849</f>
        <v>34849584</v>
      </c>
      <c r="H2849" s="45" t="s">
        <v>2594</v>
      </c>
    </row>
    <row r="2850" spans="1:771 1026:1795 2050:2819 3074:3843 4098:4867 5122:5891 6146:6915 7170:7939 8194:8963 9218:9987 10242:11011 11266:12035 12290:13059 13314:14083 14338:15107 15362:16131" s="35" customFormat="1" ht="65.400000000000006" thickBot="1" x14ac:dyDescent="0.35">
      <c r="A2850" s="53"/>
      <c r="B2850" s="54"/>
      <c r="C2850" s="55" t="s">
        <v>2331</v>
      </c>
      <c r="D2850" s="56"/>
      <c r="E2850" s="5"/>
      <c r="F2850" s="6"/>
      <c r="G2850" s="57"/>
      <c r="H2850" s="58"/>
    </row>
    <row r="2851" spans="1:771 1026:1795 2050:2819 3074:3843 4098:4867 5122:5891 6146:6915 7170:7939 8194:8963 9218:9987 10242:11011 11266:12035 12290:13059 13314:14083 14338:15107 15362:16131" s="59" customFormat="1" ht="31.8" thickBot="1" x14ac:dyDescent="0.35">
      <c r="A2851" s="154"/>
      <c r="B2851" s="155" t="s">
        <v>26</v>
      </c>
      <c r="C2851" s="156"/>
      <c r="D2851" s="154"/>
      <c r="E2851" s="157"/>
      <c r="F2851" s="158"/>
      <c r="G2851" s="159">
        <f>SUM(G2847:G2850)/2</f>
        <v>34849584</v>
      </c>
      <c r="H2851" s="160"/>
      <c r="IX2851" s="35"/>
      <c r="IY2851" s="35"/>
      <c r="ST2851" s="35"/>
      <c r="SU2851" s="35"/>
      <c r="ACP2851" s="35"/>
      <c r="ACQ2851" s="35"/>
      <c r="AML2851" s="35"/>
      <c r="AMM2851" s="35"/>
      <c r="AWH2851" s="35"/>
      <c r="AWI2851" s="35"/>
      <c r="BGD2851" s="35"/>
      <c r="BGE2851" s="35"/>
      <c r="BPZ2851" s="35"/>
      <c r="BQA2851" s="35"/>
      <c r="BZV2851" s="35"/>
      <c r="BZW2851" s="35"/>
      <c r="CJR2851" s="35"/>
      <c r="CJS2851" s="35"/>
      <c r="CTN2851" s="35"/>
      <c r="CTO2851" s="35"/>
      <c r="DDJ2851" s="35"/>
      <c r="DDK2851" s="35"/>
      <c r="DNF2851" s="35"/>
      <c r="DNG2851" s="35"/>
      <c r="DXB2851" s="35"/>
      <c r="DXC2851" s="35"/>
      <c r="EGX2851" s="35"/>
      <c r="EGY2851" s="35"/>
      <c r="EQT2851" s="35"/>
      <c r="EQU2851" s="35"/>
      <c r="FAP2851" s="35"/>
      <c r="FAQ2851" s="35"/>
      <c r="FKL2851" s="35"/>
      <c r="FKM2851" s="35"/>
      <c r="FUH2851" s="35"/>
      <c r="FUI2851" s="35"/>
      <c r="GED2851" s="35"/>
      <c r="GEE2851" s="35"/>
      <c r="GNZ2851" s="35"/>
      <c r="GOA2851" s="35"/>
      <c r="GXV2851" s="35"/>
      <c r="GXW2851" s="35"/>
      <c r="HHR2851" s="35"/>
      <c r="HHS2851" s="35"/>
      <c r="HRN2851" s="35"/>
      <c r="HRO2851" s="35"/>
      <c r="IBJ2851" s="35"/>
      <c r="IBK2851" s="35"/>
      <c r="ILF2851" s="35"/>
      <c r="ILG2851" s="35"/>
      <c r="IVB2851" s="35"/>
      <c r="IVC2851" s="35"/>
      <c r="JEX2851" s="35"/>
      <c r="JEY2851" s="35"/>
      <c r="JOT2851" s="35"/>
      <c r="JOU2851" s="35"/>
      <c r="JYP2851" s="35"/>
      <c r="JYQ2851" s="35"/>
      <c r="KIL2851" s="35"/>
      <c r="KIM2851" s="35"/>
      <c r="KSH2851" s="35"/>
      <c r="KSI2851" s="35"/>
      <c r="LCD2851" s="35"/>
      <c r="LCE2851" s="35"/>
      <c r="LLZ2851" s="35"/>
      <c r="LMA2851" s="35"/>
      <c r="LVV2851" s="35"/>
      <c r="LVW2851" s="35"/>
      <c r="MFR2851" s="35"/>
      <c r="MFS2851" s="35"/>
      <c r="MPN2851" s="35"/>
      <c r="MPO2851" s="35"/>
      <c r="MZJ2851" s="35"/>
      <c r="MZK2851" s="35"/>
      <c r="NJF2851" s="35"/>
      <c r="NJG2851" s="35"/>
      <c r="NTB2851" s="35"/>
      <c r="NTC2851" s="35"/>
      <c r="OCX2851" s="35"/>
      <c r="OCY2851" s="35"/>
      <c r="OMT2851" s="35"/>
      <c r="OMU2851" s="35"/>
      <c r="OWP2851" s="35"/>
      <c r="OWQ2851" s="35"/>
      <c r="PGL2851" s="35"/>
      <c r="PGM2851" s="35"/>
      <c r="PQH2851" s="35"/>
      <c r="PQI2851" s="35"/>
      <c r="QAD2851" s="35"/>
      <c r="QAE2851" s="35"/>
      <c r="QJZ2851" s="35"/>
      <c r="QKA2851" s="35"/>
      <c r="QTV2851" s="35"/>
      <c r="QTW2851" s="35"/>
      <c r="RDR2851" s="35"/>
      <c r="RDS2851" s="35"/>
      <c r="RNN2851" s="35"/>
      <c r="RNO2851" s="35"/>
      <c r="RXJ2851" s="35"/>
      <c r="RXK2851" s="35"/>
      <c r="SHF2851" s="35"/>
      <c r="SHG2851" s="35"/>
      <c r="SRB2851" s="35"/>
      <c r="SRC2851" s="35"/>
      <c r="TAX2851" s="35"/>
      <c r="TAY2851" s="35"/>
      <c r="TKT2851" s="35"/>
      <c r="TKU2851" s="35"/>
      <c r="TUP2851" s="35"/>
      <c r="TUQ2851" s="35"/>
      <c r="UEL2851" s="35"/>
      <c r="UEM2851" s="35"/>
      <c r="UOH2851" s="35"/>
      <c r="UOI2851" s="35"/>
      <c r="UYD2851" s="35"/>
      <c r="UYE2851" s="35"/>
      <c r="VHZ2851" s="35"/>
      <c r="VIA2851" s="35"/>
      <c r="VRV2851" s="35"/>
      <c r="VRW2851" s="35"/>
      <c r="WBR2851" s="35"/>
      <c r="WBS2851" s="35"/>
      <c r="WLN2851" s="35"/>
      <c r="WLO2851" s="35"/>
      <c r="WVJ2851" s="35"/>
      <c r="WVK2851" s="35"/>
    </row>
    <row r="2852" spans="1:771 1026:1795 2050:2819 3074:3843 4098:4867 5122:5891 6146:6915 7170:7939 8194:8963 9218:9987 10242:11011 11266:12035 12290:13059 13314:14083 14338:15107 15362:16131" s="35" customFormat="1" ht="31.2" x14ac:dyDescent="0.3">
      <c r="A2852" s="28">
        <v>7</v>
      </c>
      <c r="B2852" s="29" t="s">
        <v>2308</v>
      </c>
      <c r="C2852" s="30" t="s">
        <v>2598</v>
      </c>
      <c r="D2852" s="31"/>
      <c r="E2852" s="32"/>
      <c r="F2852" s="33"/>
      <c r="G2852" s="33"/>
      <c r="H2852" s="34" t="s">
        <v>2309</v>
      </c>
    </row>
    <row r="2853" spans="1:771 1026:1795 2050:2819 3074:3843 4098:4867 5122:5891 6146:6915 7170:7939 8194:8963 9218:9987 10242:11011 11266:12035 12290:13059 13314:14083 14338:15107 15362:16131" s="35" customFormat="1" x14ac:dyDescent="0.3">
      <c r="A2853" s="36"/>
      <c r="B2853" s="37" t="s">
        <v>1815</v>
      </c>
      <c r="C2853" s="47" t="s">
        <v>35</v>
      </c>
      <c r="D2853" s="39"/>
      <c r="E2853" s="44"/>
      <c r="F2853" s="40"/>
      <c r="G2853" s="41">
        <f>SUM(G2854:G2860)</f>
        <v>7244640.0000000009</v>
      </c>
      <c r="H2853" s="42"/>
    </row>
    <row r="2854" spans="1:771 1026:1795 2050:2819 3074:3843 4098:4867 5122:5891 6146:6915 7170:7939 8194:8963 9218:9987 10242:11011 11266:12035 12290:13059 13314:14083 14338:15107 15362:16131" s="35" customFormat="1" ht="93.6" x14ac:dyDescent="0.3">
      <c r="A2854" s="36"/>
      <c r="B2854" s="37" t="s">
        <v>1816</v>
      </c>
      <c r="C2854" s="48" t="s">
        <v>1819</v>
      </c>
      <c r="D2854" s="39"/>
      <c r="E2854" s="44"/>
      <c r="F2854" s="40"/>
      <c r="G2854" s="40">
        <f t="shared" ref="G2854:G2860" si="44">E2854*F2854</f>
        <v>0</v>
      </c>
      <c r="H2854" s="42"/>
    </row>
    <row r="2855" spans="1:771 1026:1795 2050:2819 3074:3843 4098:4867 5122:5891 6146:6915 7170:7939 8194:8963 9218:9987 10242:11011 11266:12035 12290:13059 13314:14083 14338:15107 15362:16131" s="35" customFormat="1" ht="78" x14ac:dyDescent="0.3">
      <c r="A2855" s="36"/>
      <c r="B2855" s="46" t="s">
        <v>1817</v>
      </c>
      <c r="C2855" s="48" t="s">
        <v>15</v>
      </c>
      <c r="D2855" s="39"/>
      <c r="E2855" s="44"/>
      <c r="F2855" s="40"/>
      <c r="G2855" s="40">
        <f t="shared" si="44"/>
        <v>0</v>
      </c>
      <c r="H2855" s="42"/>
    </row>
    <row r="2856" spans="1:771 1026:1795 2050:2819 3074:3843 4098:4867 5122:5891 6146:6915 7170:7939 8194:8963 9218:9987 10242:11011 11266:12035 12290:13059 13314:14083 14338:15107 15362:16131" s="35" customFormat="1" ht="41.4" x14ac:dyDescent="0.3">
      <c r="A2856" s="36"/>
      <c r="B2856" s="50" t="s">
        <v>1818</v>
      </c>
      <c r="C2856" s="48" t="s">
        <v>1739</v>
      </c>
      <c r="D2856" s="39" t="s">
        <v>13</v>
      </c>
      <c r="E2856" s="44">
        <f>2*9</f>
        <v>18</v>
      </c>
      <c r="F2856" s="40"/>
      <c r="G2856" s="40">
        <f t="shared" si="44"/>
        <v>0</v>
      </c>
      <c r="H2856" s="42" t="s">
        <v>2599</v>
      </c>
    </row>
    <row r="2857" spans="1:771 1026:1795 2050:2819 3074:3843 4098:4867 5122:5891 6146:6915 7170:7939 8194:8963 9218:9987 10242:11011 11266:12035 12290:13059 13314:14083 14338:15107 15362:16131" s="35" customFormat="1" ht="93.6" x14ac:dyDescent="0.3">
      <c r="A2857" s="36"/>
      <c r="B2857" s="46"/>
      <c r="C2857" s="48" t="s">
        <v>1820</v>
      </c>
      <c r="D2857" s="39"/>
      <c r="E2857" s="44"/>
      <c r="F2857" s="40"/>
      <c r="G2857" s="40">
        <f t="shared" si="44"/>
        <v>0</v>
      </c>
      <c r="H2857" s="52"/>
    </row>
    <row r="2858" spans="1:771 1026:1795 2050:2819 3074:3843 4098:4867 5122:5891 6146:6915 7170:7939 8194:8963 9218:9987 10242:11011 11266:12035 12290:13059 13314:14083 14338:15107 15362:16131" s="35" customFormat="1" x14ac:dyDescent="0.3">
      <c r="A2858" s="36"/>
      <c r="B2858" s="46"/>
      <c r="C2858" s="48" t="s">
        <v>15</v>
      </c>
      <c r="D2858" s="39"/>
      <c r="E2858" s="44"/>
      <c r="F2858" s="40"/>
      <c r="G2858" s="40">
        <f t="shared" si="44"/>
        <v>0</v>
      </c>
      <c r="H2858" s="52"/>
    </row>
    <row r="2859" spans="1:771 1026:1795 2050:2819 3074:3843 4098:4867 5122:5891 6146:6915 7170:7939 8194:8963 9218:9987 10242:11011 11266:12035 12290:13059 13314:14083 14338:15107 15362:16131" s="35" customFormat="1" ht="41.4" x14ac:dyDescent="0.3">
      <c r="A2859" s="36"/>
      <c r="B2859" s="46"/>
      <c r="C2859" s="48" t="s">
        <v>1739</v>
      </c>
      <c r="D2859" s="39" t="s">
        <v>13</v>
      </c>
      <c r="E2859" s="44">
        <f>2*3.42</f>
        <v>6.84</v>
      </c>
      <c r="F2859" s="40"/>
      <c r="G2859" s="40">
        <f t="shared" si="44"/>
        <v>0</v>
      </c>
      <c r="H2859" s="42" t="s">
        <v>2600</v>
      </c>
    </row>
    <row r="2860" spans="1:771 1026:1795 2050:2819 3074:3843 4098:4867 5122:5891 6146:6915 7170:7939 8194:8963 9218:9987 10242:11011 11266:12035 12290:13059 13314:14083 14338:15107 15362:16131" s="35" customFormat="1" ht="18.600000000000001" x14ac:dyDescent="0.3">
      <c r="A2860" s="36"/>
      <c r="B2860" s="46"/>
      <c r="C2860" s="48" t="s">
        <v>1821</v>
      </c>
      <c r="D2860" s="39" t="s">
        <v>13</v>
      </c>
      <c r="E2860" s="44">
        <f>1.3*5.4</f>
        <v>7.0200000000000005</v>
      </c>
      <c r="F2860" s="40">
        <v>1032000</v>
      </c>
      <c r="G2860" s="40">
        <f t="shared" si="44"/>
        <v>7244640.0000000009</v>
      </c>
      <c r="H2860" s="52" t="s">
        <v>1768</v>
      </c>
    </row>
    <row r="2861" spans="1:771 1026:1795 2050:2819 3074:3843 4098:4867 5122:5891 6146:6915 7170:7939 8194:8963 9218:9987 10242:11011 11266:12035 12290:13059 13314:14083 14338:15107 15362:16131" s="35" customFormat="1" x14ac:dyDescent="0.3">
      <c r="A2861" s="36"/>
      <c r="B2861" s="46"/>
      <c r="C2861" s="51" t="s">
        <v>20</v>
      </c>
      <c r="D2861" s="39"/>
      <c r="E2861" s="44"/>
      <c r="F2861" s="40"/>
      <c r="G2861" s="41">
        <f>SUM(G2862:G2866)</f>
        <v>790000</v>
      </c>
      <c r="H2861" s="52"/>
    </row>
    <row r="2862" spans="1:771 1026:1795 2050:2819 3074:3843 4098:4867 5122:5891 6146:6915 7170:7939 8194:8963 9218:9987 10242:11011 11266:12035 12290:13059 13314:14083 14338:15107 15362:16131" s="35" customFormat="1" x14ac:dyDescent="0.3">
      <c r="A2862" s="36"/>
      <c r="B2862" s="46"/>
      <c r="C2862" s="48" t="s">
        <v>1822</v>
      </c>
      <c r="D2862" s="39" t="s">
        <v>21</v>
      </c>
      <c r="E2862" s="44">
        <v>1</v>
      </c>
      <c r="F2862" s="40">
        <v>600000</v>
      </c>
      <c r="G2862" s="40">
        <f>E2862*F2862</f>
        <v>600000</v>
      </c>
      <c r="H2862" s="52"/>
    </row>
    <row r="2863" spans="1:771 1026:1795 2050:2819 3074:3843 4098:4867 5122:5891 6146:6915 7170:7939 8194:8963 9218:9987 10242:11011 11266:12035 12290:13059 13314:14083 14338:15107 15362:16131" s="35" customFormat="1" x14ac:dyDescent="0.3">
      <c r="A2863" s="36"/>
      <c r="B2863" s="46"/>
      <c r="C2863" s="48" t="s">
        <v>1823</v>
      </c>
      <c r="D2863" s="39" t="s">
        <v>891</v>
      </c>
      <c r="E2863" s="44">
        <v>3</v>
      </c>
      <c r="F2863" s="40">
        <v>30000</v>
      </c>
      <c r="G2863" s="40">
        <f>E2863*F2863</f>
        <v>90000</v>
      </c>
      <c r="H2863" s="52"/>
    </row>
    <row r="2864" spans="1:771 1026:1795 2050:2819 3074:3843 4098:4867 5122:5891 6146:6915 7170:7939 8194:8963 9218:9987 10242:11011 11266:12035 12290:13059 13314:14083 14338:15107 15362:16131" s="35" customFormat="1" x14ac:dyDescent="0.3">
      <c r="A2864" s="36"/>
      <c r="B2864" s="46"/>
      <c r="C2864" s="48" t="s">
        <v>195</v>
      </c>
      <c r="D2864" s="76" t="s">
        <v>22</v>
      </c>
      <c r="E2864" s="44">
        <v>1</v>
      </c>
      <c r="F2864" s="40">
        <v>40000</v>
      </c>
      <c r="G2864" s="40">
        <f>E2864*F2864</f>
        <v>40000</v>
      </c>
      <c r="H2864" s="52"/>
    </row>
    <row r="2865" spans="1:771 1026:1795 2050:2819 3074:3843 4098:4867 5122:5891 6146:6915 7170:7939 8194:8963 9218:9987 10242:11011 11266:12035 12290:13059 13314:14083 14338:15107 15362:16131" s="35" customFormat="1" x14ac:dyDescent="0.3">
      <c r="A2865" s="36"/>
      <c r="B2865" s="46"/>
      <c r="C2865" s="48" t="s">
        <v>196</v>
      </c>
      <c r="D2865" s="76" t="s">
        <v>22</v>
      </c>
      <c r="E2865" s="44">
        <v>1</v>
      </c>
      <c r="F2865" s="74">
        <v>20000</v>
      </c>
      <c r="G2865" s="40">
        <f>E2865*F2865</f>
        <v>20000</v>
      </c>
      <c r="H2865" s="52"/>
    </row>
    <row r="2866" spans="1:771 1026:1795 2050:2819 3074:3843 4098:4867 5122:5891 6146:6915 7170:7939 8194:8963 9218:9987 10242:11011 11266:12035 12290:13059 13314:14083 14338:15107 15362:16131" s="35" customFormat="1" x14ac:dyDescent="0.3">
      <c r="A2866" s="36"/>
      <c r="B2866" s="46"/>
      <c r="C2866" s="48" t="s">
        <v>1824</v>
      </c>
      <c r="D2866" s="76" t="s">
        <v>22</v>
      </c>
      <c r="E2866" s="44">
        <v>1</v>
      </c>
      <c r="F2866" s="40">
        <v>40000</v>
      </c>
      <c r="G2866" s="40">
        <f>E2866*F2866</f>
        <v>40000</v>
      </c>
      <c r="H2866" s="52"/>
    </row>
    <row r="2867" spans="1:771 1026:1795 2050:2819 3074:3843 4098:4867 5122:5891 6146:6915 7170:7939 8194:8963 9218:9987 10242:11011 11266:12035 12290:13059 13314:14083 14338:15107 15362:16131" s="35" customFormat="1" ht="65.400000000000006" thickBot="1" x14ac:dyDescent="0.35">
      <c r="A2867" s="53"/>
      <c r="B2867" s="54"/>
      <c r="C2867" s="55" t="s">
        <v>2331</v>
      </c>
      <c r="D2867" s="56"/>
      <c r="E2867" s="5"/>
      <c r="F2867" s="6"/>
      <c r="G2867" s="57"/>
      <c r="H2867" s="58"/>
    </row>
    <row r="2868" spans="1:771 1026:1795 2050:2819 3074:3843 4098:4867 5122:5891 6146:6915 7170:7939 8194:8963 9218:9987 10242:11011 11266:12035 12290:13059 13314:14083 14338:15107 15362:16131" s="59" customFormat="1" ht="31.8" thickBot="1" x14ac:dyDescent="0.35">
      <c r="A2868" s="154"/>
      <c r="B2868" s="155" t="s">
        <v>26</v>
      </c>
      <c r="C2868" s="156"/>
      <c r="D2868" s="154"/>
      <c r="E2868" s="157"/>
      <c r="F2868" s="158"/>
      <c r="G2868" s="159">
        <f>SUM(G2852:G2867)/2</f>
        <v>8034640.0000000009</v>
      </c>
      <c r="H2868" s="160"/>
      <c r="IX2868" s="35"/>
      <c r="IY2868" s="35"/>
      <c r="ST2868" s="35"/>
      <c r="SU2868" s="35"/>
      <c r="ACP2868" s="35"/>
      <c r="ACQ2868" s="35"/>
      <c r="AML2868" s="35"/>
      <c r="AMM2868" s="35"/>
      <c r="AWH2868" s="35"/>
      <c r="AWI2868" s="35"/>
      <c r="BGD2868" s="35"/>
      <c r="BGE2868" s="35"/>
      <c r="BPZ2868" s="35"/>
      <c r="BQA2868" s="35"/>
      <c r="BZV2868" s="35"/>
      <c r="BZW2868" s="35"/>
      <c r="CJR2868" s="35"/>
      <c r="CJS2868" s="35"/>
      <c r="CTN2868" s="35"/>
      <c r="CTO2868" s="35"/>
      <c r="DDJ2868" s="35"/>
      <c r="DDK2868" s="35"/>
      <c r="DNF2868" s="35"/>
      <c r="DNG2868" s="35"/>
      <c r="DXB2868" s="35"/>
      <c r="DXC2868" s="35"/>
      <c r="EGX2868" s="35"/>
      <c r="EGY2868" s="35"/>
      <c r="EQT2868" s="35"/>
      <c r="EQU2868" s="35"/>
      <c r="FAP2868" s="35"/>
      <c r="FAQ2868" s="35"/>
      <c r="FKL2868" s="35"/>
      <c r="FKM2868" s="35"/>
      <c r="FUH2868" s="35"/>
      <c r="FUI2868" s="35"/>
      <c r="GED2868" s="35"/>
      <c r="GEE2868" s="35"/>
      <c r="GNZ2868" s="35"/>
      <c r="GOA2868" s="35"/>
      <c r="GXV2868" s="35"/>
      <c r="GXW2868" s="35"/>
      <c r="HHR2868" s="35"/>
      <c r="HHS2868" s="35"/>
      <c r="HRN2868" s="35"/>
      <c r="HRO2868" s="35"/>
      <c r="IBJ2868" s="35"/>
      <c r="IBK2868" s="35"/>
      <c r="ILF2868" s="35"/>
      <c r="ILG2868" s="35"/>
      <c r="IVB2868" s="35"/>
      <c r="IVC2868" s="35"/>
      <c r="JEX2868" s="35"/>
      <c r="JEY2868" s="35"/>
      <c r="JOT2868" s="35"/>
      <c r="JOU2868" s="35"/>
      <c r="JYP2868" s="35"/>
      <c r="JYQ2868" s="35"/>
      <c r="KIL2868" s="35"/>
      <c r="KIM2868" s="35"/>
      <c r="KSH2868" s="35"/>
      <c r="KSI2868" s="35"/>
      <c r="LCD2868" s="35"/>
      <c r="LCE2868" s="35"/>
      <c r="LLZ2868" s="35"/>
      <c r="LMA2868" s="35"/>
      <c r="LVV2868" s="35"/>
      <c r="LVW2868" s="35"/>
      <c r="MFR2868" s="35"/>
      <c r="MFS2868" s="35"/>
      <c r="MPN2868" s="35"/>
      <c r="MPO2868" s="35"/>
      <c r="MZJ2868" s="35"/>
      <c r="MZK2868" s="35"/>
      <c r="NJF2868" s="35"/>
      <c r="NJG2868" s="35"/>
      <c r="NTB2868" s="35"/>
      <c r="NTC2868" s="35"/>
      <c r="OCX2868" s="35"/>
      <c r="OCY2868" s="35"/>
      <c r="OMT2868" s="35"/>
      <c r="OMU2868" s="35"/>
      <c r="OWP2868" s="35"/>
      <c r="OWQ2868" s="35"/>
      <c r="PGL2868" s="35"/>
      <c r="PGM2868" s="35"/>
      <c r="PQH2868" s="35"/>
      <c r="PQI2868" s="35"/>
      <c r="QAD2868" s="35"/>
      <c r="QAE2868" s="35"/>
      <c r="QJZ2868" s="35"/>
      <c r="QKA2868" s="35"/>
      <c r="QTV2868" s="35"/>
      <c r="QTW2868" s="35"/>
      <c r="RDR2868" s="35"/>
      <c r="RDS2868" s="35"/>
      <c r="RNN2868" s="35"/>
      <c r="RNO2868" s="35"/>
      <c r="RXJ2868" s="35"/>
      <c r="RXK2868" s="35"/>
      <c r="SHF2868" s="35"/>
      <c r="SHG2868" s="35"/>
      <c r="SRB2868" s="35"/>
      <c r="SRC2868" s="35"/>
      <c r="TAX2868" s="35"/>
      <c r="TAY2868" s="35"/>
      <c r="TKT2868" s="35"/>
      <c r="TKU2868" s="35"/>
      <c r="TUP2868" s="35"/>
      <c r="TUQ2868" s="35"/>
      <c r="UEL2868" s="35"/>
      <c r="UEM2868" s="35"/>
      <c r="UOH2868" s="35"/>
      <c r="UOI2868" s="35"/>
      <c r="UYD2868" s="35"/>
      <c r="UYE2868" s="35"/>
      <c r="VHZ2868" s="35"/>
      <c r="VIA2868" s="35"/>
      <c r="VRV2868" s="35"/>
      <c r="VRW2868" s="35"/>
      <c r="WBR2868" s="35"/>
      <c r="WBS2868" s="35"/>
      <c r="WLN2868" s="35"/>
      <c r="WLO2868" s="35"/>
      <c r="WVJ2868" s="35"/>
      <c r="WVK2868" s="35"/>
    </row>
    <row r="2869" spans="1:771 1026:1795 2050:2819 3074:3843 4098:4867 5122:5891 6146:6915 7170:7939 8194:8963 9218:9987 10242:11011 11266:12035 12290:13059 13314:14083 14338:15107 15362:16131" s="35" customFormat="1" ht="31.2" x14ac:dyDescent="0.3">
      <c r="A2869" s="28">
        <v>8</v>
      </c>
      <c r="B2869" s="29" t="s">
        <v>2306</v>
      </c>
      <c r="C2869" s="30" t="s">
        <v>2601</v>
      </c>
      <c r="D2869" s="31"/>
      <c r="E2869" s="32"/>
      <c r="F2869" s="33"/>
      <c r="G2869" s="33"/>
      <c r="H2869" s="34" t="s">
        <v>2307</v>
      </c>
    </row>
    <row r="2870" spans="1:771 1026:1795 2050:2819 3074:3843 4098:4867 5122:5891 6146:6915 7170:7939 8194:8963 9218:9987 10242:11011 11266:12035 12290:13059 13314:14083 14338:15107 15362:16131" s="35" customFormat="1" x14ac:dyDescent="0.3">
      <c r="A2870" s="36"/>
      <c r="B2870" s="37" t="s">
        <v>1825</v>
      </c>
      <c r="C2870" s="47" t="s">
        <v>35</v>
      </c>
      <c r="D2870" s="39"/>
      <c r="E2870" s="44"/>
      <c r="F2870" s="40"/>
      <c r="G2870" s="41">
        <f>SUM(G2871:G2874)</f>
        <v>0</v>
      </c>
      <c r="H2870" s="45"/>
    </row>
    <row r="2871" spans="1:771 1026:1795 2050:2819 3074:3843 4098:4867 5122:5891 6146:6915 7170:7939 8194:8963 9218:9987 10242:11011 11266:12035 12290:13059 13314:14083 14338:15107 15362:16131" s="35" customFormat="1" ht="93.6" x14ac:dyDescent="0.3">
      <c r="A2871" s="36"/>
      <c r="B2871" s="37" t="s">
        <v>1826</v>
      </c>
      <c r="C2871" s="66" t="s">
        <v>1829</v>
      </c>
      <c r="D2871" s="39"/>
      <c r="E2871" s="44"/>
      <c r="F2871" s="40"/>
      <c r="G2871" s="40">
        <f>E2871*F2871</f>
        <v>0</v>
      </c>
      <c r="H2871" s="52"/>
    </row>
    <row r="2872" spans="1:771 1026:1795 2050:2819 3074:3843 4098:4867 5122:5891 6146:6915 7170:7939 8194:8963 9218:9987 10242:11011 11266:12035 12290:13059 13314:14083 14338:15107 15362:16131" s="35" customFormat="1" ht="78" x14ac:dyDescent="0.3">
      <c r="A2872" s="36"/>
      <c r="B2872" s="46" t="s">
        <v>1827</v>
      </c>
      <c r="C2872" s="48" t="s">
        <v>15</v>
      </c>
      <c r="D2872" s="39"/>
      <c r="E2872" s="44"/>
      <c r="F2872" s="40"/>
      <c r="G2872" s="40">
        <f>E2872*F2872</f>
        <v>0</v>
      </c>
      <c r="H2872" s="52"/>
    </row>
    <row r="2873" spans="1:771 1026:1795 2050:2819 3074:3843 4098:4867 5122:5891 6146:6915 7170:7939 8194:8963 9218:9987 10242:11011 11266:12035 12290:13059 13314:14083 14338:15107 15362:16131" s="35" customFormat="1" ht="41.4" x14ac:dyDescent="0.3">
      <c r="A2873" s="36"/>
      <c r="B2873" s="50" t="s">
        <v>1828</v>
      </c>
      <c r="C2873" s="48" t="s">
        <v>1775</v>
      </c>
      <c r="D2873" s="39" t="s">
        <v>891</v>
      </c>
      <c r="E2873" s="44">
        <f>2*4.1</f>
        <v>8.1999999999999993</v>
      </c>
      <c r="F2873" s="40"/>
      <c r="G2873" s="40">
        <f>E2873*F2873</f>
        <v>0</v>
      </c>
      <c r="H2873" s="42" t="s">
        <v>2602</v>
      </c>
    </row>
    <row r="2874" spans="1:771 1026:1795 2050:2819 3074:3843 4098:4867 5122:5891 6146:6915 7170:7939 8194:8963 9218:9987 10242:11011 11266:12035 12290:13059 13314:14083 14338:15107 15362:16131" s="35" customFormat="1" ht="65.400000000000006" thickBot="1" x14ac:dyDescent="0.35">
      <c r="A2874" s="53"/>
      <c r="B2874" s="54"/>
      <c r="C2874" s="55" t="s">
        <v>2331</v>
      </c>
      <c r="D2874" s="56"/>
      <c r="E2874" s="5"/>
      <c r="F2874" s="6"/>
      <c r="G2874" s="57"/>
      <c r="H2874" s="58"/>
    </row>
    <row r="2875" spans="1:771 1026:1795 2050:2819 3074:3843 4098:4867 5122:5891 6146:6915 7170:7939 8194:8963 9218:9987 10242:11011 11266:12035 12290:13059 13314:14083 14338:15107 15362:16131" s="59" customFormat="1" ht="31.8" thickBot="1" x14ac:dyDescent="0.35">
      <c r="A2875" s="154"/>
      <c r="B2875" s="155" t="s">
        <v>26</v>
      </c>
      <c r="C2875" s="156"/>
      <c r="D2875" s="154"/>
      <c r="E2875" s="157"/>
      <c r="F2875" s="158"/>
      <c r="G2875" s="159">
        <f>SUM(G2869:G2874)/2</f>
        <v>0</v>
      </c>
      <c r="H2875" s="160"/>
      <c r="IX2875" s="35"/>
      <c r="IY2875" s="35"/>
      <c r="ST2875" s="35"/>
      <c r="SU2875" s="35"/>
      <c r="ACP2875" s="35"/>
      <c r="ACQ2875" s="35"/>
      <c r="AML2875" s="35"/>
      <c r="AMM2875" s="35"/>
      <c r="AWH2875" s="35"/>
      <c r="AWI2875" s="35"/>
      <c r="BGD2875" s="35"/>
      <c r="BGE2875" s="35"/>
      <c r="BPZ2875" s="35"/>
      <c r="BQA2875" s="35"/>
      <c r="BZV2875" s="35"/>
      <c r="BZW2875" s="35"/>
      <c r="CJR2875" s="35"/>
      <c r="CJS2875" s="35"/>
      <c r="CTN2875" s="35"/>
      <c r="CTO2875" s="35"/>
      <c r="DDJ2875" s="35"/>
      <c r="DDK2875" s="35"/>
      <c r="DNF2875" s="35"/>
      <c r="DNG2875" s="35"/>
      <c r="DXB2875" s="35"/>
      <c r="DXC2875" s="35"/>
      <c r="EGX2875" s="35"/>
      <c r="EGY2875" s="35"/>
      <c r="EQT2875" s="35"/>
      <c r="EQU2875" s="35"/>
      <c r="FAP2875" s="35"/>
      <c r="FAQ2875" s="35"/>
      <c r="FKL2875" s="35"/>
      <c r="FKM2875" s="35"/>
      <c r="FUH2875" s="35"/>
      <c r="FUI2875" s="35"/>
      <c r="GED2875" s="35"/>
      <c r="GEE2875" s="35"/>
      <c r="GNZ2875" s="35"/>
      <c r="GOA2875" s="35"/>
      <c r="GXV2875" s="35"/>
      <c r="GXW2875" s="35"/>
      <c r="HHR2875" s="35"/>
      <c r="HHS2875" s="35"/>
      <c r="HRN2875" s="35"/>
      <c r="HRO2875" s="35"/>
      <c r="IBJ2875" s="35"/>
      <c r="IBK2875" s="35"/>
      <c r="ILF2875" s="35"/>
      <c r="ILG2875" s="35"/>
      <c r="IVB2875" s="35"/>
      <c r="IVC2875" s="35"/>
      <c r="JEX2875" s="35"/>
      <c r="JEY2875" s="35"/>
      <c r="JOT2875" s="35"/>
      <c r="JOU2875" s="35"/>
      <c r="JYP2875" s="35"/>
      <c r="JYQ2875" s="35"/>
      <c r="KIL2875" s="35"/>
      <c r="KIM2875" s="35"/>
      <c r="KSH2875" s="35"/>
      <c r="KSI2875" s="35"/>
      <c r="LCD2875" s="35"/>
      <c r="LCE2875" s="35"/>
      <c r="LLZ2875" s="35"/>
      <c r="LMA2875" s="35"/>
      <c r="LVV2875" s="35"/>
      <c r="LVW2875" s="35"/>
      <c r="MFR2875" s="35"/>
      <c r="MFS2875" s="35"/>
      <c r="MPN2875" s="35"/>
      <c r="MPO2875" s="35"/>
      <c r="MZJ2875" s="35"/>
      <c r="MZK2875" s="35"/>
      <c r="NJF2875" s="35"/>
      <c r="NJG2875" s="35"/>
      <c r="NTB2875" s="35"/>
      <c r="NTC2875" s="35"/>
      <c r="OCX2875" s="35"/>
      <c r="OCY2875" s="35"/>
      <c r="OMT2875" s="35"/>
      <c r="OMU2875" s="35"/>
      <c r="OWP2875" s="35"/>
      <c r="OWQ2875" s="35"/>
      <c r="PGL2875" s="35"/>
      <c r="PGM2875" s="35"/>
      <c r="PQH2875" s="35"/>
      <c r="PQI2875" s="35"/>
      <c r="QAD2875" s="35"/>
      <c r="QAE2875" s="35"/>
      <c r="QJZ2875" s="35"/>
      <c r="QKA2875" s="35"/>
      <c r="QTV2875" s="35"/>
      <c r="QTW2875" s="35"/>
      <c r="RDR2875" s="35"/>
      <c r="RDS2875" s="35"/>
      <c r="RNN2875" s="35"/>
      <c r="RNO2875" s="35"/>
      <c r="RXJ2875" s="35"/>
      <c r="RXK2875" s="35"/>
      <c r="SHF2875" s="35"/>
      <c r="SHG2875" s="35"/>
      <c r="SRB2875" s="35"/>
      <c r="SRC2875" s="35"/>
      <c r="TAX2875" s="35"/>
      <c r="TAY2875" s="35"/>
      <c r="TKT2875" s="35"/>
      <c r="TKU2875" s="35"/>
      <c r="TUP2875" s="35"/>
      <c r="TUQ2875" s="35"/>
      <c r="UEL2875" s="35"/>
      <c r="UEM2875" s="35"/>
      <c r="UOH2875" s="35"/>
      <c r="UOI2875" s="35"/>
      <c r="UYD2875" s="35"/>
      <c r="UYE2875" s="35"/>
      <c r="VHZ2875" s="35"/>
      <c r="VIA2875" s="35"/>
      <c r="VRV2875" s="35"/>
      <c r="VRW2875" s="35"/>
      <c r="WBR2875" s="35"/>
      <c r="WBS2875" s="35"/>
      <c r="WLN2875" s="35"/>
      <c r="WLO2875" s="35"/>
      <c r="WVJ2875" s="35"/>
      <c r="WVK2875" s="35"/>
    </row>
    <row r="2876" spans="1:771 1026:1795 2050:2819 3074:3843 4098:4867 5122:5891 6146:6915 7170:7939 8194:8963 9218:9987 10242:11011 11266:12035 12290:13059 13314:14083 14338:15107 15362:16131" ht="31.2" x14ac:dyDescent="0.3">
      <c r="A2876" s="164">
        <v>9</v>
      </c>
      <c r="B2876" s="29" t="s">
        <v>2262</v>
      </c>
      <c r="C2876" s="30" t="s">
        <v>2595</v>
      </c>
      <c r="D2876" s="31" t="s">
        <v>13</v>
      </c>
      <c r="E2876" s="32"/>
      <c r="F2876" s="33"/>
      <c r="G2876" s="33"/>
      <c r="H2876" s="34" t="s">
        <v>2263</v>
      </c>
    </row>
    <row r="2877" spans="1:771 1026:1795 2050:2819 3074:3843 4098:4867 5122:5891 6146:6915 7170:7939 8194:8963 9218:9987 10242:11011 11266:12035 12290:13059 13314:14083 14338:15107 15362:16131" x14ac:dyDescent="0.3">
      <c r="A2877" s="167"/>
      <c r="B2877" s="37" t="s">
        <v>1858</v>
      </c>
      <c r="C2877" s="47" t="s">
        <v>35</v>
      </c>
      <c r="D2877" s="39"/>
      <c r="E2877" s="44"/>
      <c r="F2877" s="40"/>
      <c r="G2877" s="41">
        <f>SUM(G2878:G2881)</f>
        <v>0</v>
      </c>
      <c r="H2877" s="42"/>
    </row>
    <row r="2878" spans="1:771 1026:1795 2050:2819 3074:3843 4098:4867 5122:5891 6146:6915 7170:7939 8194:8963 9218:9987 10242:11011 11266:12035 12290:13059 13314:14083 14338:15107 15362:16131" ht="41.4" x14ac:dyDescent="0.3">
      <c r="A2878" s="167"/>
      <c r="B2878" s="37" t="s">
        <v>1994</v>
      </c>
      <c r="C2878" s="86" t="s">
        <v>1995</v>
      </c>
      <c r="D2878" s="39" t="s">
        <v>13</v>
      </c>
      <c r="E2878" s="44">
        <f>2*3.57</f>
        <v>7.14</v>
      </c>
      <c r="F2878" s="40"/>
      <c r="G2878" s="40">
        <f>E2878*F2878</f>
        <v>0</v>
      </c>
      <c r="H2878" s="42" t="s">
        <v>2635</v>
      </c>
    </row>
    <row r="2879" spans="1:771 1026:1795 2050:2819 3074:3843 4098:4867 5122:5891 6146:6915 7170:7939 8194:8963 9218:9987 10242:11011 11266:12035 12290:13059 13314:14083 14338:15107 15362:16131" x14ac:dyDescent="0.3">
      <c r="A2879" s="167"/>
      <c r="B2879" s="37" t="s">
        <v>1996</v>
      </c>
      <c r="C2879" s="86" t="s">
        <v>1997</v>
      </c>
      <c r="D2879" s="39" t="s">
        <v>106</v>
      </c>
      <c r="E2879" s="44">
        <v>1</v>
      </c>
      <c r="F2879" s="40"/>
      <c r="G2879" s="40">
        <f>E2879*F2879</f>
        <v>0</v>
      </c>
      <c r="H2879" s="52"/>
    </row>
    <row r="2880" spans="1:771 1026:1795 2050:2819 3074:3843 4098:4867 5122:5891 6146:6915 7170:7939 8194:8963 9218:9987 10242:11011 11266:12035 12290:13059 13314:14083 14338:15107 15362:16131" x14ac:dyDescent="0.3">
      <c r="A2880" s="167"/>
      <c r="B2880" s="37"/>
      <c r="C2880" s="86" t="s">
        <v>105</v>
      </c>
      <c r="D2880" s="39" t="s">
        <v>106</v>
      </c>
      <c r="E2880" s="44">
        <v>1</v>
      </c>
      <c r="F2880" s="40"/>
      <c r="G2880" s="40">
        <f>E2880*F2880</f>
        <v>0</v>
      </c>
      <c r="H2880" s="52" t="s">
        <v>2353</v>
      </c>
    </row>
    <row r="2881" spans="1:771 1026:1795 2050:2819 3074:3843 4098:4867 5122:5891 6146:6915 7170:7939 8194:8963 9218:9987 10242:11011 11266:12035 12290:13059 13314:14083 14338:15107 15362:16131" s="35" customFormat="1" ht="65.400000000000006" thickBot="1" x14ac:dyDescent="0.35">
      <c r="A2881" s="53"/>
      <c r="B2881" s="54"/>
      <c r="C2881" s="55" t="s">
        <v>2331</v>
      </c>
      <c r="D2881" s="56"/>
      <c r="E2881" s="5"/>
      <c r="F2881" s="6"/>
      <c r="G2881" s="57"/>
      <c r="H2881" s="58"/>
    </row>
    <row r="2882" spans="1:771 1026:1795 2050:2819 3074:3843 4098:4867 5122:5891 6146:6915 7170:7939 8194:8963 9218:9987 10242:11011 11266:12035 12290:13059 13314:14083 14338:15107 15362:16131" s="177" customFormat="1" ht="31.8" thickBot="1" x14ac:dyDescent="0.35">
      <c r="A2882" s="174"/>
      <c r="B2882" s="155" t="s">
        <v>26</v>
      </c>
      <c r="C2882" s="175"/>
      <c r="D2882" s="23"/>
      <c r="E2882" s="176"/>
      <c r="F2882" s="159"/>
      <c r="G2882" s="159">
        <f>SUM(G2876:G2881)/2</f>
        <v>0</v>
      </c>
      <c r="H2882" s="160"/>
      <c r="IX2882" s="173"/>
      <c r="IY2882" s="173"/>
      <c r="ST2882" s="173"/>
      <c r="SU2882" s="173"/>
      <c r="ACP2882" s="173"/>
      <c r="ACQ2882" s="173"/>
      <c r="AML2882" s="173"/>
      <c r="AMM2882" s="173"/>
      <c r="AWH2882" s="173"/>
      <c r="AWI2882" s="173"/>
      <c r="BGD2882" s="173"/>
      <c r="BGE2882" s="173"/>
      <c r="BPZ2882" s="173"/>
      <c r="BQA2882" s="173"/>
      <c r="BZV2882" s="173"/>
      <c r="BZW2882" s="173"/>
      <c r="CJR2882" s="173"/>
      <c r="CJS2882" s="173"/>
      <c r="CTN2882" s="173"/>
      <c r="CTO2882" s="173"/>
      <c r="DDJ2882" s="173"/>
      <c r="DDK2882" s="173"/>
      <c r="DNF2882" s="173"/>
      <c r="DNG2882" s="173"/>
      <c r="DXB2882" s="173"/>
      <c r="DXC2882" s="173"/>
      <c r="EGX2882" s="173"/>
      <c r="EGY2882" s="173"/>
      <c r="EQT2882" s="173"/>
      <c r="EQU2882" s="173"/>
      <c r="FAP2882" s="173"/>
      <c r="FAQ2882" s="173"/>
      <c r="FKL2882" s="173"/>
      <c r="FKM2882" s="173"/>
      <c r="FUH2882" s="173"/>
      <c r="FUI2882" s="173"/>
      <c r="GED2882" s="173"/>
      <c r="GEE2882" s="173"/>
      <c r="GNZ2882" s="173"/>
      <c r="GOA2882" s="173"/>
      <c r="GXV2882" s="173"/>
      <c r="GXW2882" s="173"/>
      <c r="HHR2882" s="173"/>
      <c r="HHS2882" s="173"/>
      <c r="HRN2882" s="173"/>
      <c r="HRO2882" s="173"/>
      <c r="IBJ2882" s="173"/>
      <c r="IBK2882" s="173"/>
      <c r="ILF2882" s="173"/>
      <c r="ILG2882" s="173"/>
      <c r="IVB2882" s="173"/>
      <c r="IVC2882" s="173"/>
      <c r="JEX2882" s="173"/>
      <c r="JEY2882" s="173"/>
      <c r="JOT2882" s="173"/>
      <c r="JOU2882" s="173"/>
      <c r="JYP2882" s="173"/>
      <c r="JYQ2882" s="173"/>
      <c r="KIL2882" s="173"/>
      <c r="KIM2882" s="173"/>
      <c r="KSH2882" s="173"/>
      <c r="KSI2882" s="173"/>
      <c r="LCD2882" s="173"/>
      <c r="LCE2882" s="173"/>
      <c r="LLZ2882" s="173"/>
      <c r="LMA2882" s="173"/>
      <c r="LVV2882" s="173"/>
      <c r="LVW2882" s="173"/>
      <c r="MFR2882" s="173"/>
      <c r="MFS2882" s="173"/>
      <c r="MPN2882" s="173"/>
      <c r="MPO2882" s="173"/>
      <c r="MZJ2882" s="173"/>
      <c r="MZK2882" s="173"/>
      <c r="NJF2882" s="173"/>
      <c r="NJG2882" s="173"/>
      <c r="NTB2882" s="173"/>
      <c r="NTC2882" s="173"/>
      <c r="OCX2882" s="173"/>
      <c r="OCY2882" s="173"/>
      <c r="OMT2882" s="173"/>
      <c r="OMU2882" s="173"/>
      <c r="OWP2882" s="173"/>
      <c r="OWQ2882" s="173"/>
      <c r="PGL2882" s="173"/>
      <c r="PGM2882" s="173"/>
      <c r="PQH2882" s="173"/>
      <c r="PQI2882" s="173"/>
      <c r="QAD2882" s="173"/>
      <c r="QAE2882" s="173"/>
      <c r="QJZ2882" s="173"/>
      <c r="QKA2882" s="173"/>
      <c r="QTV2882" s="173"/>
      <c r="QTW2882" s="173"/>
      <c r="RDR2882" s="173"/>
      <c r="RDS2882" s="173"/>
      <c r="RNN2882" s="173"/>
      <c r="RNO2882" s="173"/>
      <c r="RXJ2882" s="173"/>
      <c r="RXK2882" s="173"/>
      <c r="SHF2882" s="173"/>
      <c r="SHG2882" s="173"/>
      <c r="SRB2882" s="173"/>
      <c r="SRC2882" s="173"/>
      <c r="TAX2882" s="173"/>
      <c r="TAY2882" s="173"/>
      <c r="TKT2882" s="173"/>
      <c r="TKU2882" s="173"/>
      <c r="TUP2882" s="173"/>
      <c r="TUQ2882" s="173"/>
      <c r="UEL2882" s="173"/>
      <c r="UEM2882" s="173"/>
      <c r="UOH2882" s="173"/>
      <c r="UOI2882" s="173"/>
      <c r="UYD2882" s="173"/>
      <c r="UYE2882" s="173"/>
      <c r="VHZ2882" s="173"/>
      <c r="VIA2882" s="173"/>
      <c r="VRV2882" s="173"/>
      <c r="VRW2882" s="173"/>
      <c r="WBR2882" s="173"/>
      <c r="WBS2882" s="173"/>
      <c r="WLN2882" s="173"/>
      <c r="WLO2882" s="173"/>
      <c r="WVJ2882" s="173"/>
      <c r="WVK2882" s="173"/>
    </row>
    <row r="2883" spans="1:771 1026:1795 2050:2819 3074:3843 4098:4867 5122:5891 6146:6915 7170:7939 8194:8963 9218:9987 10242:11011 11266:12035 12290:13059 13314:14083 14338:15107 15362:16131" ht="31.2" x14ac:dyDescent="0.3">
      <c r="A2883" s="164">
        <v>10</v>
      </c>
      <c r="B2883" s="29" t="s">
        <v>2270</v>
      </c>
      <c r="C2883" s="30" t="s">
        <v>2603</v>
      </c>
      <c r="D2883" s="31"/>
      <c r="E2883" s="137"/>
      <c r="F2883" s="33"/>
      <c r="G2883" s="33"/>
      <c r="H2883" s="34" t="s">
        <v>2269</v>
      </c>
    </row>
    <row r="2884" spans="1:771 1026:1795 2050:2819 3074:3843 4098:4867 5122:5891 6146:6915 7170:7939 8194:8963 9218:9987 10242:11011 11266:12035 12290:13059 13314:14083 14338:15107 15362:16131" x14ac:dyDescent="0.3">
      <c r="A2884" s="167"/>
      <c r="B2884" s="37" t="s">
        <v>2046</v>
      </c>
      <c r="C2884" s="47" t="s">
        <v>35</v>
      </c>
      <c r="D2884" s="39"/>
      <c r="E2884" s="44"/>
      <c r="F2884" s="40"/>
      <c r="G2884" s="41">
        <f>SUM(G2885:G2887)</f>
        <v>3729120</v>
      </c>
      <c r="H2884" s="42"/>
    </row>
    <row r="2885" spans="1:771 1026:1795 2050:2819 3074:3843 4098:4867 5122:5891 6146:6915 7170:7939 8194:8963 9218:9987 10242:11011 11266:12035 12290:13059 13314:14083 14338:15107 15362:16131" ht="78" x14ac:dyDescent="0.3">
      <c r="A2885" s="167"/>
      <c r="B2885" s="37" t="s">
        <v>2047</v>
      </c>
      <c r="C2885" s="66" t="s">
        <v>2271</v>
      </c>
      <c r="D2885" s="39" t="s">
        <v>13</v>
      </c>
      <c r="E2885" s="44">
        <f>((0.9+1.5)*2)/2</f>
        <v>2.4</v>
      </c>
      <c r="F2885" s="40">
        <f>3592000*40%</f>
        <v>1436800</v>
      </c>
      <c r="G2885" s="40">
        <f>E2885*F2885</f>
        <v>3448320</v>
      </c>
      <c r="H2885" s="42" t="s">
        <v>2636</v>
      </c>
    </row>
    <row r="2886" spans="1:771 1026:1795 2050:2819 3074:3843 4098:4867 5122:5891 6146:6915 7170:7939 8194:8963 9218:9987 10242:11011 11266:12035 12290:13059 13314:14083 14338:15107 15362:16131" ht="78" x14ac:dyDescent="0.3">
      <c r="A2886" s="167"/>
      <c r="B2886" s="37" t="s">
        <v>2048</v>
      </c>
      <c r="C2886" s="66" t="s">
        <v>2049</v>
      </c>
      <c r="D2886" s="39" t="s">
        <v>13</v>
      </c>
      <c r="E2886" s="44">
        <f>((0.2+1.1)*2)/2</f>
        <v>1.3</v>
      </c>
      <c r="F2886" s="40">
        <f>540000*40%</f>
        <v>216000</v>
      </c>
      <c r="G2886" s="40">
        <f>E2886*F2886</f>
        <v>280800</v>
      </c>
      <c r="H2886" s="42" t="s">
        <v>2374</v>
      </c>
    </row>
    <row r="2887" spans="1:771 1026:1795 2050:2819 3074:3843 4098:4867 5122:5891 6146:6915 7170:7939 8194:8963 9218:9987 10242:11011 11266:12035 12290:13059 13314:14083 14338:15107 15362:16131" s="35" customFormat="1" ht="65.400000000000006" thickBot="1" x14ac:dyDescent="0.35">
      <c r="A2887" s="53"/>
      <c r="B2887" s="130" t="s">
        <v>2050</v>
      </c>
      <c r="C2887" s="55" t="s">
        <v>2331</v>
      </c>
      <c r="D2887" s="56"/>
      <c r="E2887" s="5"/>
      <c r="F2887" s="6"/>
      <c r="G2887" s="57"/>
      <c r="H2887" s="58"/>
    </row>
    <row r="2888" spans="1:771 1026:1795 2050:2819 3074:3843 4098:4867 5122:5891 6146:6915 7170:7939 8194:8963 9218:9987 10242:11011 11266:12035 12290:13059 13314:14083 14338:15107 15362:16131" s="177" customFormat="1" ht="31.8" thickBot="1" x14ac:dyDescent="0.35">
      <c r="A2888" s="174"/>
      <c r="B2888" s="155" t="s">
        <v>26</v>
      </c>
      <c r="C2888" s="175"/>
      <c r="D2888" s="23"/>
      <c r="E2888" s="176"/>
      <c r="F2888" s="159"/>
      <c r="G2888" s="159">
        <f>SUM(G2883:G2886)/2</f>
        <v>3729120</v>
      </c>
      <c r="H2888" s="160"/>
      <c r="IX2888" s="173"/>
      <c r="IY2888" s="173"/>
      <c r="ST2888" s="173"/>
      <c r="SU2888" s="173"/>
      <c r="ACP2888" s="173"/>
      <c r="ACQ2888" s="173"/>
      <c r="AML2888" s="173"/>
      <c r="AMM2888" s="173"/>
      <c r="AWH2888" s="173"/>
      <c r="AWI2888" s="173"/>
      <c r="BGD2888" s="173"/>
      <c r="BGE2888" s="173"/>
      <c r="BPZ2888" s="173"/>
      <c r="BQA2888" s="173"/>
      <c r="BZV2888" s="173"/>
      <c r="BZW2888" s="173"/>
      <c r="CJR2888" s="173"/>
      <c r="CJS2888" s="173"/>
      <c r="CTN2888" s="173"/>
      <c r="CTO2888" s="173"/>
      <c r="DDJ2888" s="173"/>
      <c r="DDK2888" s="173"/>
      <c r="DNF2888" s="173"/>
      <c r="DNG2888" s="173"/>
      <c r="DXB2888" s="173"/>
      <c r="DXC2888" s="173"/>
      <c r="EGX2888" s="173"/>
      <c r="EGY2888" s="173"/>
      <c r="EQT2888" s="173"/>
      <c r="EQU2888" s="173"/>
      <c r="FAP2888" s="173"/>
      <c r="FAQ2888" s="173"/>
      <c r="FKL2888" s="173"/>
      <c r="FKM2888" s="173"/>
      <c r="FUH2888" s="173"/>
      <c r="FUI2888" s="173"/>
      <c r="GED2888" s="173"/>
      <c r="GEE2888" s="173"/>
      <c r="GNZ2888" s="173"/>
      <c r="GOA2888" s="173"/>
      <c r="GXV2888" s="173"/>
      <c r="GXW2888" s="173"/>
      <c r="HHR2888" s="173"/>
      <c r="HHS2888" s="173"/>
      <c r="HRN2888" s="173"/>
      <c r="HRO2888" s="173"/>
      <c r="IBJ2888" s="173"/>
      <c r="IBK2888" s="173"/>
      <c r="ILF2888" s="173"/>
      <c r="ILG2888" s="173"/>
      <c r="IVB2888" s="173"/>
      <c r="IVC2888" s="173"/>
      <c r="JEX2888" s="173"/>
      <c r="JEY2888" s="173"/>
      <c r="JOT2888" s="173"/>
      <c r="JOU2888" s="173"/>
      <c r="JYP2888" s="173"/>
      <c r="JYQ2888" s="173"/>
      <c r="KIL2888" s="173"/>
      <c r="KIM2888" s="173"/>
      <c r="KSH2888" s="173"/>
      <c r="KSI2888" s="173"/>
      <c r="LCD2888" s="173"/>
      <c r="LCE2888" s="173"/>
      <c r="LLZ2888" s="173"/>
      <c r="LMA2888" s="173"/>
      <c r="LVV2888" s="173"/>
      <c r="LVW2888" s="173"/>
      <c r="MFR2888" s="173"/>
      <c r="MFS2888" s="173"/>
      <c r="MPN2888" s="173"/>
      <c r="MPO2888" s="173"/>
      <c r="MZJ2888" s="173"/>
      <c r="MZK2888" s="173"/>
      <c r="NJF2888" s="173"/>
      <c r="NJG2888" s="173"/>
      <c r="NTB2888" s="173"/>
      <c r="NTC2888" s="173"/>
      <c r="OCX2888" s="173"/>
      <c r="OCY2888" s="173"/>
      <c r="OMT2888" s="173"/>
      <c r="OMU2888" s="173"/>
      <c r="OWP2888" s="173"/>
      <c r="OWQ2888" s="173"/>
      <c r="PGL2888" s="173"/>
      <c r="PGM2888" s="173"/>
      <c r="PQH2888" s="173"/>
      <c r="PQI2888" s="173"/>
      <c r="QAD2888" s="173"/>
      <c r="QAE2888" s="173"/>
      <c r="QJZ2888" s="173"/>
      <c r="QKA2888" s="173"/>
      <c r="QTV2888" s="173"/>
      <c r="QTW2888" s="173"/>
      <c r="RDR2888" s="173"/>
      <c r="RDS2888" s="173"/>
      <c r="RNN2888" s="173"/>
      <c r="RNO2888" s="173"/>
      <c r="RXJ2888" s="173"/>
      <c r="RXK2888" s="173"/>
      <c r="SHF2888" s="173"/>
      <c r="SHG2888" s="173"/>
      <c r="SRB2888" s="173"/>
      <c r="SRC2888" s="173"/>
      <c r="TAX2888" s="173"/>
      <c r="TAY2888" s="173"/>
      <c r="TKT2888" s="173"/>
      <c r="TKU2888" s="173"/>
      <c r="TUP2888" s="173"/>
      <c r="TUQ2888" s="173"/>
      <c r="UEL2888" s="173"/>
      <c r="UEM2888" s="173"/>
      <c r="UOH2888" s="173"/>
      <c r="UOI2888" s="173"/>
      <c r="UYD2888" s="173"/>
      <c r="UYE2888" s="173"/>
      <c r="VHZ2888" s="173"/>
      <c r="VIA2888" s="173"/>
      <c r="VRV2888" s="173"/>
      <c r="VRW2888" s="173"/>
      <c r="WBR2888" s="173"/>
      <c r="WBS2888" s="173"/>
      <c r="WLN2888" s="173"/>
      <c r="WLO2888" s="173"/>
      <c r="WVJ2888" s="173"/>
      <c r="WVK2888" s="173"/>
    </row>
    <row r="2889" spans="1:771 1026:1795 2050:2819 3074:3843 4098:4867 5122:5891 6146:6915 7170:7939 8194:8963 9218:9987 10242:11011 11266:12035 12290:13059 13314:14083 14338:15107 15362:16131" ht="31.2" x14ac:dyDescent="0.3">
      <c r="A2889" s="164">
        <v>11</v>
      </c>
      <c r="B2889" s="29" t="s">
        <v>2267</v>
      </c>
      <c r="C2889" s="30" t="s">
        <v>2268</v>
      </c>
      <c r="D2889" s="31"/>
      <c r="E2889" s="137"/>
      <c r="F2889" s="33"/>
      <c r="G2889" s="33"/>
      <c r="H2889" s="34" t="s">
        <v>2269</v>
      </c>
    </row>
    <row r="2890" spans="1:771 1026:1795 2050:2819 3074:3843 4098:4867 5122:5891 6146:6915 7170:7939 8194:8963 9218:9987 10242:11011 11266:12035 12290:13059 13314:14083 14338:15107 15362:16131" x14ac:dyDescent="0.3">
      <c r="A2890" s="167"/>
      <c r="B2890" s="37" t="s">
        <v>2051</v>
      </c>
      <c r="C2890" s="47" t="s">
        <v>35</v>
      </c>
      <c r="D2890" s="39"/>
      <c r="E2890" s="44"/>
      <c r="F2890" s="40"/>
      <c r="G2890" s="41">
        <f>SUM(G2891:G2893)</f>
        <v>15517440.000000002</v>
      </c>
      <c r="H2890" s="42"/>
    </row>
    <row r="2891" spans="1:771 1026:1795 2050:2819 3074:3843 4098:4867 5122:5891 6146:6915 7170:7939 8194:8963 9218:9987 10242:11011 11266:12035 12290:13059 13314:14083 14338:15107 15362:16131" ht="93.6" x14ac:dyDescent="0.3">
      <c r="A2891" s="167"/>
      <c r="B2891" s="37" t="s">
        <v>2052</v>
      </c>
      <c r="C2891" s="66" t="s">
        <v>2053</v>
      </c>
      <c r="D2891" s="39" t="s">
        <v>13</v>
      </c>
      <c r="E2891" s="44">
        <f>2.16*5</f>
        <v>10.8</v>
      </c>
      <c r="F2891" s="40">
        <f>3592000*40%</f>
        <v>1436800</v>
      </c>
      <c r="G2891" s="40">
        <f>E2891*F2891</f>
        <v>15517440.000000002</v>
      </c>
      <c r="H2891" s="42" t="s">
        <v>2637</v>
      </c>
    </row>
    <row r="2892" spans="1:771 1026:1795 2050:2819 3074:3843 4098:4867 5122:5891 6146:6915 7170:7939 8194:8963 9218:9987 10242:11011 11266:12035 12290:13059 13314:14083 14338:15107 15362:16131" ht="78" x14ac:dyDescent="0.3">
      <c r="A2892" s="167"/>
      <c r="B2892" s="37" t="s">
        <v>2054</v>
      </c>
      <c r="C2892" s="66"/>
      <c r="D2892" s="39"/>
      <c r="E2892" s="44"/>
      <c r="F2892" s="40"/>
      <c r="G2892" s="40">
        <f>E2892*F2892</f>
        <v>0</v>
      </c>
      <c r="H2892" s="42" t="s">
        <v>235</v>
      </c>
    </row>
    <row r="2893" spans="1:771 1026:1795 2050:2819 3074:3843 4098:4867 5122:5891 6146:6915 7170:7939 8194:8963 9218:9987 10242:11011 11266:12035 12290:13059 13314:14083 14338:15107 15362:16131" s="35" customFormat="1" ht="65.400000000000006" thickBot="1" x14ac:dyDescent="0.35">
      <c r="A2893" s="53"/>
      <c r="B2893" s="130" t="s">
        <v>2045</v>
      </c>
      <c r="C2893" s="55" t="s">
        <v>2331</v>
      </c>
      <c r="D2893" s="56"/>
      <c r="E2893" s="5"/>
      <c r="F2893" s="6"/>
      <c r="G2893" s="57"/>
      <c r="H2893" s="58"/>
    </row>
    <row r="2894" spans="1:771 1026:1795 2050:2819 3074:3843 4098:4867 5122:5891 6146:6915 7170:7939 8194:8963 9218:9987 10242:11011 11266:12035 12290:13059 13314:14083 14338:15107 15362:16131" s="177" customFormat="1" ht="31.8" thickBot="1" x14ac:dyDescent="0.35">
      <c r="A2894" s="174"/>
      <c r="B2894" s="155" t="s">
        <v>26</v>
      </c>
      <c r="C2894" s="175"/>
      <c r="D2894" s="23"/>
      <c r="E2894" s="176"/>
      <c r="F2894" s="159"/>
      <c r="G2894" s="159">
        <f>SUM(G2889:G2892)/2</f>
        <v>15517440.000000002</v>
      </c>
      <c r="H2894" s="160"/>
      <c r="IX2894" s="173"/>
      <c r="IY2894" s="173"/>
      <c r="ST2894" s="173"/>
      <c r="SU2894" s="173"/>
      <c r="ACP2894" s="173"/>
      <c r="ACQ2894" s="173"/>
      <c r="AML2894" s="173"/>
      <c r="AMM2894" s="173"/>
      <c r="AWH2894" s="173"/>
      <c r="AWI2894" s="173"/>
      <c r="BGD2894" s="173"/>
      <c r="BGE2894" s="173"/>
      <c r="BPZ2894" s="173"/>
      <c r="BQA2894" s="173"/>
      <c r="BZV2894" s="173"/>
      <c r="BZW2894" s="173"/>
      <c r="CJR2894" s="173"/>
      <c r="CJS2894" s="173"/>
      <c r="CTN2894" s="173"/>
      <c r="CTO2894" s="173"/>
      <c r="DDJ2894" s="173"/>
      <c r="DDK2894" s="173"/>
      <c r="DNF2894" s="173"/>
      <c r="DNG2894" s="173"/>
      <c r="DXB2894" s="173"/>
      <c r="DXC2894" s="173"/>
      <c r="EGX2894" s="173"/>
      <c r="EGY2894" s="173"/>
      <c r="EQT2894" s="173"/>
      <c r="EQU2894" s="173"/>
      <c r="FAP2894" s="173"/>
      <c r="FAQ2894" s="173"/>
      <c r="FKL2894" s="173"/>
      <c r="FKM2894" s="173"/>
      <c r="FUH2894" s="173"/>
      <c r="FUI2894" s="173"/>
      <c r="GED2894" s="173"/>
      <c r="GEE2894" s="173"/>
      <c r="GNZ2894" s="173"/>
      <c r="GOA2894" s="173"/>
      <c r="GXV2894" s="173"/>
      <c r="GXW2894" s="173"/>
      <c r="HHR2894" s="173"/>
      <c r="HHS2894" s="173"/>
      <c r="HRN2894" s="173"/>
      <c r="HRO2894" s="173"/>
      <c r="IBJ2894" s="173"/>
      <c r="IBK2894" s="173"/>
      <c r="ILF2894" s="173"/>
      <c r="ILG2894" s="173"/>
      <c r="IVB2894" s="173"/>
      <c r="IVC2894" s="173"/>
      <c r="JEX2894" s="173"/>
      <c r="JEY2894" s="173"/>
      <c r="JOT2894" s="173"/>
      <c r="JOU2894" s="173"/>
      <c r="JYP2894" s="173"/>
      <c r="JYQ2894" s="173"/>
      <c r="KIL2894" s="173"/>
      <c r="KIM2894" s="173"/>
      <c r="KSH2894" s="173"/>
      <c r="KSI2894" s="173"/>
      <c r="LCD2894" s="173"/>
      <c r="LCE2894" s="173"/>
      <c r="LLZ2894" s="173"/>
      <c r="LMA2894" s="173"/>
      <c r="LVV2894" s="173"/>
      <c r="LVW2894" s="173"/>
      <c r="MFR2894" s="173"/>
      <c r="MFS2894" s="173"/>
      <c r="MPN2894" s="173"/>
      <c r="MPO2894" s="173"/>
      <c r="MZJ2894" s="173"/>
      <c r="MZK2894" s="173"/>
      <c r="NJF2894" s="173"/>
      <c r="NJG2894" s="173"/>
      <c r="NTB2894" s="173"/>
      <c r="NTC2894" s="173"/>
      <c r="OCX2894" s="173"/>
      <c r="OCY2894" s="173"/>
      <c r="OMT2894" s="173"/>
      <c r="OMU2894" s="173"/>
      <c r="OWP2894" s="173"/>
      <c r="OWQ2894" s="173"/>
      <c r="PGL2894" s="173"/>
      <c r="PGM2894" s="173"/>
      <c r="PQH2894" s="173"/>
      <c r="PQI2894" s="173"/>
      <c r="QAD2894" s="173"/>
      <c r="QAE2894" s="173"/>
      <c r="QJZ2894" s="173"/>
      <c r="QKA2894" s="173"/>
      <c r="QTV2894" s="173"/>
      <c r="QTW2894" s="173"/>
      <c r="RDR2894" s="173"/>
      <c r="RDS2894" s="173"/>
      <c r="RNN2894" s="173"/>
      <c r="RNO2894" s="173"/>
      <c r="RXJ2894" s="173"/>
      <c r="RXK2894" s="173"/>
      <c r="SHF2894" s="173"/>
      <c r="SHG2894" s="173"/>
      <c r="SRB2894" s="173"/>
      <c r="SRC2894" s="173"/>
      <c r="TAX2894" s="173"/>
      <c r="TAY2894" s="173"/>
      <c r="TKT2894" s="173"/>
      <c r="TKU2894" s="173"/>
      <c r="TUP2894" s="173"/>
      <c r="TUQ2894" s="173"/>
      <c r="UEL2894" s="173"/>
      <c r="UEM2894" s="173"/>
      <c r="UOH2894" s="173"/>
      <c r="UOI2894" s="173"/>
      <c r="UYD2894" s="173"/>
      <c r="UYE2894" s="173"/>
      <c r="VHZ2894" s="173"/>
      <c r="VIA2894" s="173"/>
      <c r="VRV2894" s="173"/>
      <c r="VRW2894" s="173"/>
      <c r="WBR2894" s="173"/>
      <c r="WBS2894" s="173"/>
      <c r="WLN2894" s="173"/>
      <c r="WLO2894" s="173"/>
      <c r="WVJ2894" s="173"/>
      <c r="WVK2894" s="173"/>
    </row>
    <row r="2895" spans="1:771 1026:1795 2050:2819 3074:3843 4098:4867 5122:5891 6146:6915 7170:7939 8194:8963 9218:9987 10242:11011 11266:12035 12290:13059 13314:14083 14338:15107 15362:16131" ht="31.2" x14ac:dyDescent="0.3">
      <c r="A2895" s="164">
        <v>12</v>
      </c>
      <c r="B2895" s="29" t="s">
        <v>2272</v>
      </c>
      <c r="C2895" s="30" t="s">
        <v>2268</v>
      </c>
      <c r="D2895" s="31"/>
      <c r="E2895" s="137"/>
      <c r="F2895" s="33"/>
      <c r="G2895" s="33"/>
      <c r="H2895" s="34" t="s">
        <v>2269</v>
      </c>
    </row>
    <row r="2896" spans="1:771 1026:1795 2050:2819 3074:3843 4098:4867 5122:5891 6146:6915 7170:7939 8194:8963 9218:9987 10242:11011 11266:12035 12290:13059 13314:14083 14338:15107 15362:16131" x14ac:dyDescent="0.3">
      <c r="A2896" s="167"/>
      <c r="B2896" s="37" t="s">
        <v>2055</v>
      </c>
      <c r="C2896" s="47" t="s">
        <v>35</v>
      </c>
      <c r="D2896" s="39"/>
      <c r="E2896" s="44"/>
      <c r="F2896" s="40"/>
      <c r="G2896" s="41">
        <f>SUM(G2897:G2900)</f>
        <v>1117692.0053999997</v>
      </c>
      <c r="H2896" s="42"/>
    </row>
    <row r="2897" spans="1:771 1026:1795 2050:2819 3074:3843 4098:4867 5122:5891 6146:6915 7170:7939 8194:8963 9218:9987 10242:11011 11266:12035 12290:13059 13314:14083 14338:15107 15362:16131" ht="93.6" x14ac:dyDescent="0.3">
      <c r="A2897" s="167"/>
      <c r="B2897" s="37" t="s">
        <v>2056</v>
      </c>
      <c r="C2897" s="66" t="s">
        <v>2057</v>
      </c>
      <c r="D2897" s="39" t="s">
        <v>13</v>
      </c>
      <c r="E2897" s="44">
        <f>(0.9*3)/2</f>
        <v>1.35</v>
      </c>
      <c r="F2897" s="40">
        <f>3592000.4%</f>
        <v>35920.004000000001</v>
      </c>
      <c r="G2897" s="40">
        <f>E2897*F2897</f>
        <v>48492.005400000002</v>
      </c>
      <c r="H2897" s="42" t="s">
        <v>2638</v>
      </c>
    </row>
    <row r="2898" spans="1:771 1026:1795 2050:2819 3074:3843 4098:4867 5122:5891 6146:6915 7170:7939 8194:8963 9218:9987 10242:11011 11266:12035 12290:13059 13314:14083 14338:15107 15362:16131" ht="78" x14ac:dyDescent="0.3">
      <c r="A2898" s="167"/>
      <c r="B2898" s="37" t="s">
        <v>2044</v>
      </c>
      <c r="C2898" s="66" t="s">
        <v>2041</v>
      </c>
      <c r="D2898" s="39" t="s">
        <v>13</v>
      </c>
      <c r="E2898" s="44">
        <f>((1.2+2.1)*3)/2</f>
        <v>4.9499999999999993</v>
      </c>
      <c r="F2898" s="40">
        <f>540000*40%</f>
        <v>216000</v>
      </c>
      <c r="G2898" s="40">
        <f>E2898*F2898</f>
        <v>1069199.9999999998</v>
      </c>
      <c r="H2898" s="42" t="s">
        <v>235</v>
      </c>
    </row>
    <row r="2899" spans="1:771 1026:1795 2050:2819 3074:3843 4098:4867 5122:5891 6146:6915 7170:7939 8194:8963 9218:9987 10242:11011 11266:12035 12290:13059 13314:14083 14338:15107 15362:16131" x14ac:dyDescent="0.3">
      <c r="A2899" s="170"/>
      <c r="B2899" s="130" t="s">
        <v>2058</v>
      </c>
      <c r="C2899" s="82" t="s">
        <v>105</v>
      </c>
      <c r="D2899" s="56" t="s">
        <v>106</v>
      </c>
      <c r="E2899" s="71">
        <v>1</v>
      </c>
      <c r="F2899" s="57"/>
      <c r="G2899" s="57">
        <f>E2899*F2899</f>
        <v>0</v>
      </c>
      <c r="H2899" s="68" t="s">
        <v>2353</v>
      </c>
    </row>
    <row r="2900" spans="1:771 1026:1795 2050:2819 3074:3843 4098:4867 5122:5891 6146:6915 7170:7939 8194:8963 9218:9987 10242:11011 11266:12035 12290:13059 13314:14083 14338:15107 15362:16131" s="35" customFormat="1" ht="65.400000000000006" thickBot="1" x14ac:dyDescent="0.35">
      <c r="A2900" s="53"/>
      <c r="B2900" s="54"/>
      <c r="C2900" s="55" t="s">
        <v>2331</v>
      </c>
      <c r="D2900" s="56"/>
      <c r="E2900" s="5"/>
      <c r="F2900" s="6"/>
      <c r="G2900" s="57"/>
      <c r="H2900" s="58"/>
    </row>
    <row r="2901" spans="1:771 1026:1795 2050:2819 3074:3843 4098:4867 5122:5891 6146:6915 7170:7939 8194:8963 9218:9987 10242:11011 11266:12035 12290:13059 13314:14083 14338:15107 15362:16131" s="177" customFormat="1" ht="31.8" thickBot="1" x14ac:dyDescent="0.35">
      <c r="A2901" s="174"/>
      <c r="B2901" s="155" t="s">
        <v>26</v>
      </c>
      <c r="C2901" s="175"/>
      <c r="D2901" s="23"/>
      <c r="E2901" s="176"/>
      <c r="F2901" s="159"/>
      <c r="G2901" s="159">
        <f>SUM(G2895:G2899)/2</f>
        <v>1117692.0053999997</v>
      </c>
      <c r="H2901" s="160"/>
      <c r="IX2901" s="173"/>
      <c r="IY2901" s="173"/>
      <c r="ST2901" s="173"/>
      <c r="SU2901" s="173"/>
      <c r="ACP2901" s="173"/>
      <c r="ACQ2901" s="173"/>
      <c r="AML2901" s="173"/>
      <c r="AMM2901" s="173"/>
      <c r="AWH2901" s="173"/>
      <c r="AWI2901" s="173"/>
      <c r="BGD2901" s="173"/>
      <c r="BGE2901" s="173"/>
      <c r="BPZ2901" s="173"/>
      <c r="BQA2901" s="173"/>
      <c r="BZV2901" s="173"/>
      <c r="BZW2901" s="173"/>
      <c r="CJR2901" s="173"/>
      <c r="CJS2901" s="173"/>
      <c r="CTN2901" s="173"/>
      <c r="CTO2901" s="173"/>
      <c r="DDJ2901" s="173"/>
      <c r="DDK2901" s="173"/>
      <c r="DNF2901" s="173"/>
      <c r="DNG2901" s="173"/>
      <c r="DXB2901" s="173"/>
      <c r="DXC2901" s="173"/>
      <c r="EGX2901" s="173"/>
      <c r="EGY2901" s="173"/>
      <c r="EQT2901" s="173"/>
      <c r="EQU2901" s="173"/>
      <c r="FAP2901" s="173"/>
      <c r="FAQ2901" s="173"/>
      <c r="FKL2901" s="173"/>
      <c r="FKM2901" s="173"/>
      <c r="FUH2901" s="173"/>
      <c r="FUI2901" s="173"/>
      <c r="GED2901" s="173"/>
      <c r="GEE2901" s="173"/>
      <c r="GNZ2901" s="173"/>
      <c r="GOA2901" s="173"/>
      <c r="GXV2901" s="173"/>
      <c r="GXW2901" s="173"/>
      <c r="HHR2901" s="173"/>
      <c r="HHS2901" s="173"/>
      <c r="HRN2901" s="173"/>
      <c r="HRO2901" s="173"/>
      <c r="IBJ2901" s="173"/>
      <c r="IBK2901" s="173"/>
      <c r="ILF2901" s="173"/>
      <c r="ILG2901" s="173"/>
      <c r="IVB2901" s="173"/>
      <c r="IVC2901" s="173"/>
      <c r="JEX2901" s="173"/>
      <c r="JEY2901" s="173"/>
      <c r="JOT2901" s="173"/>
      <c r="JOU2901" s="173"/>
      <c r="JYP2901" s="173"/>
      <c r="JYQ2901" s="173"/>
      <c r="KIL2901" s="173"/>
      <c r="KIM2901" s="173"/>
      <c r="KSH2901" s="173"/>
      <c r="KSI2901" s="173"/>
      <c r="LCD2901" s="173"/>
      <c r="LCE2901" s="173"/>
      <c r="LLZ2901" s="173"/>
      <c r="LMA2901" s="173"/>
      <c r="LVV2901" s="173"/>
      <c r="LVW2901" s="173"/>
      <c r="MFR2901" s="173"/>
      <c r="MFS2901" s="173"/>
      <c r="MPN2901" s="173"/>
      <c r="MPO2901" s="173"/>
      <c r="MZJ2901" s="173"/>
      <c r="MZK2901" s="173"/>
      <c r="NJF2901" s="173"/>
      <c r="NJG2901" s="173"/>
      <c r="NTB2901" s="173"/>
      <c r="NTC2901" s="173"/>
      <c r="OCX2901" s="173"/>
      <c r="OCY2901" s="173"/>
      <c r="OMT2901" s="173"/>
      <c r="OMU2901" s="173"/>
      <c r="OWP2901" s="173"/>
      <c r="OWQ2901" s="173"/>
      <c r="PGL2901" s="173"/>
      <c r="PGM2901" s="173"/>
      <c r="PQH2901" s="173"/>
      <c r="PQI2901" s="173"/>
      <c r="QAD2901" s="173"/>
      <c r="QAE2901" s="173"/>
      <c r="QJZ2901" s="173"/>
      <c r="QKA2901" s="173"/>
      <c r="QTV2901" s="173"/>
      <c r="QTW2901" s="173"/>
      <c r="RDR2901" s="173"/>
      <c r="RDS2901" s="173"/>
      <c r="RNN2901" s="173"/>
      <c r="RNO2901" s="173"/>
      <c r="RXJ2901" s="173"/>
      <c r="RXK2901" s="173"/>
      <c r="SHF2901" s="173"/>
      <c r="SHG2901" s="173"/>
      <c r="SRB2901" s="173"/>
      <c r="SRC2901" s="173"/>
      <c r="TAX2901" s="173"/>
      <c r="TAY2901" s="173"/>
      <c r="TKT2901" s="173"/>
      <c r="TKU2901" s="173"/>
      <c r="TUP2901" s="173"/>
      <c r="TUQ2901" s="173"/>
      <c r="UEL2901" s="173"/>
      <c r="UEM2901" s="173"/>
      <c r="UOH2901" s="173"/>
      <c r="UOI2901" s="173"/>
      <c r="UYD2901" s="173"/>
      <c r="UYE2901" s="173"/>
      <c r="VHZ2901" s="173"/>
      <c r="VIA2901" s="173"/>
      <c r="VRV2901" s="173"/>
      <c r="VRW2901" s="173"/>
      <c r="WBR2901" s="173"/>
      <c r="WBS2901" s="173"/>
      <c r="WLN2901" s="173"/>
      <c r="WLO2901" s="173"/>
      <c r="WVJ2901" s="173"/>
      <c r="WVK2901" s="173"/>
    </row>
    <row r="2902" spans="1:771 1026:1795 2050:2819 3074:3843 4098:4867 5122:5891 6146:6915 7170:7939 8194:8963 9218:9987 10242:11011 11266:12035 12290:13059 13314:14083 14338:15107 15362:16131" ht="31.2" x14ac:dyDescent="0.3">
      <c r="A2902" s="164">
        <v>13</v>
      </c>
      <c r="B2902" s="29" t="s">
        <v>2273</v>
      </c>
      <c r="C2902" s="30" t="s">
        <v>2274</v>
      </c>
      <c r="D2902" s="31"/>
      <c r="E2902" s="137"/>
      <c r="F2902" s="33"/>
      <c r="G2902" s="33"/>
      <c r="H2902" s="34" t="s">
        <v>2269</v>
      </c>
    </row>
    <row r="2903" spans="1:771 1026:1795 2050:2819 3074:3843 4098:4867 5122:5891 6146:6915 7170:7939 8194:8963 9218:9987 10242:11011 11266:12035 12290:13059 13314:14083 14338:15107 15362:16131" x14ac:dyDescent="0.3">
      <c r="A2903" s="167"/>
      <c r="B2903" s="37" t="s">
        <v>2059</v>
      </c>
      <c r="C2903" s="47" t="s">
        <v>35</v>
      </c>
      <c r="D2903" s="39"/>
      <c r="E2903" s="44"/>
      <c r="F2903" s="40"/>
      <c r="G2903" s="41">
        <f>SUM(G2904:G2906)</f>
        <v>6336288</v>
      </c>
      <c r="H2903" s="42"/>
    </row>
    <row r="2904" spans="1:771 1026:1795 2050:2819 3074:3843 4098:4867 5122:5891 6146:6915 7170:7939 8194:8963 9218:9987 10242:11011 11266:12035 12290:13059 13314:14083 14338:15107 15362:16131" ht="109.2" x14ac:dyDescent="0.3">
      <c r="A2904" s="167"/>
      <c r="B2904" s="37" t="s">
        <v>2060</v>
      </c>
      <c r="C2904" s="66" t="s">
        <v>2061</v>
      </c>
      <c r="D2904" s="39" t="s">
        <v>13</v>
      </c>
      <c r="E2904" s="44">
        <f>2.1*2.1</f>
        <v>4.41</v>
      </c>
      <c r="F2904" s="40">
        <f>3592000*40%</f>
        <v>1436800</v>
      </c>
      <c r="G2904" s="40">
        <f>E2904*F2904</f>
        <v>6336288</v>
      </c>
      <c r="H2904" s="42" t="s">
        <v>2639</v>
      </c>
    </row>
    <row r="2905" spans="1:771 1026:1795 2050:2819 3074:3843 4098:4867 5122:5891 6146:6915 7170:7939 8194:8963 9218:9987 10242:11011 11266:12035 12290:13059 13314:14083 14338:15107 15362:16131" ht="78" x14ac:dyDescent="0.3">
      <c r="A2905" s="167"/>
      <c r="B2905" s="37" t="s">
        <v>2054</v>
      </c>
      <c r="C2905" s="66"/>
      <c r="D2905" s="39"/>
      <c r="E2905" s="44"/>
      <c r="F2905" s="40"/>
      <c r="G2905" s="40">
        <f>E2905*F2905</f>
        <v>0</v>
      </c>
      <c r="H2905" s="42" t="s">
        <v>235</v>
      </c>
    </row>
    <row r="2906" spans="1:771 1026:1795 2050:2819 3074:3843 4098:4867 5122:5891 6146:6915 7170:7939 8194:8963 9218:9987 10242:11011 11266:12035 12290:13059 13314:14083 14338:15107 15362:16131" s="35" customFormat="1" ht="65.400000000000006" thickBot="1" x14ac:dyDescent="0.35">
      <c r="A2906" s="53"/>
      <c r="B2906" s="130" t="s">
        <v>2045</v>
      </c>
      <c r="C2906" s="55" t="s">
        <v>2331</v>
      </c>
      <c r="D2906" s="56"/>
      <c r="E2906" s="5"/>
      <c r="F2906" s="6"/>
      <c r="G2906" s="57"/>
      <c r="H2906" s="58"/>
    </row>
    <row r="2907" spans="1:771 1026:1795 2050:2819 3074:3843 4098:4867 5122:5891 6146:6915 7170:7939 8194:8963 9218:9987 10242:11011 11266:12035 12290:13059 13314:14083 14338:15107 15362:16131" s="177" customFormat="1" ht="31.8" thickBot="1" x14ac:dyDescent="0.35">
      <c r="A2907" s="174"/>
      <c r="B2907" s="155" t="s">
        <v>26</v>
      </c>
      <c r="C2907" s="175"/>
      <c r="D2907" s="23"/>
      <c r="E2907" s="176"/>
      <c r="F2907" s="159"/>
      <c r="G2907" s="159">
        <f>SUM(G2902:G2905)/2</f>
        <v>6336288</v>
      </c>
      <c r="H2907" s="160"/>
      <c r="IX2907" s="173"/>
      <c r="IY2907" s="173"/>
      <c r="ST2907" s="173"/>
      <c r="SU2907" s="173"/>
      <c r="ACP2907" s="173"/>
      <c r="ACQ2907" s="173"/>
      <c r="AML2907" s="173"/>
      <c r="AMM2907" s="173"/>
      <c r="AWH2907" s="173"/>
      <c r="AWI2907" s="173"/>
      <c r="BGD2907" s="173"/>
      <c r="BGE2907" s="173"/>
      <c r="BPZ2907" s="173"/>
      <c r="BQA2907" s="173"/>
      <c r="BZV2907" s="173"/>
      <c r="BZW2907" s="173"/>
      <c r="CJR2907" s="173"/>
      <c r="CJS2907" s="173"/>
      <c r="CTN2907" s="173"/>
      <c r="CTO2907" s="173"/>
      <c r="DDJ2907" s="173"/>
      <c r="DDK2907" s="173"/>
      <c r="DNF2907" s="173"/>
      <c r="DNG2907" s="173"/>
      <c r="DXB2907" s="173"/>
      <c r="DXC2907" s="173"/>
      <c r="EGX2907" s="173"/>
      <c r="EGY2907" s="173"/>
      <c r="EQT2907" s="173"/>
      <c r="EQU2907" s="173"/>
      <c r="FAP2907" s="173"/>
      <c r="FAQ2907" s="173"/>
      <c r="FKL2907" s="173"/>
      <c r="FKM2907" s="173"/>
      <c r="FUH2907" s="173"/>
      <c r="FUI2907" s="173"/>
      <c r="GED2907" s="173"/>
      <c r="GEE2907" s="173"/>
      <c r="GNZ2907" s="173"/>
      <c r="GOA2907" s="173"/>
      <c r="GXV2907" s="173"/>
      <c r="GXW2907" s="173"/>
      <c r="HHR2907" s="173"/>
      <c r="HHS2907" s="173"/>
      <c r="HRN2907" s="173"/>
      <c r="HRO2907" s="173"/>
      <c r="IBJ2907" s="173"/>
      <c r="IBK2907" s="173"/>
      <c r="ILF2907" s="173"/>
      <c r="ILG2907" s="173"/>
      <c r="IVB2907" s="173"/>
      <c r="IVC2907" s="173"/>
      <c r="JEX2907" s="173"/>
      <c r="JEY2907" s="173"/>
      <c r="JOT2907" s="173"/>
      <c r="JOU2907" s="173"/>
      <c r="JYP2907" s="173"/>
      <c r="JYQ2907" s="173"/>
      <c r="KIL2907" s="173"/>
      <c r="KIM2907" s="173"/>
      <c r="KSH2907" s="173"/>
      <c r="KSI2907" s="173"/>
      <c r="LCD2907" s="173"/>
      <c r="LCE2907" s="173"/>
      <c r="LLZ2907" s="173"/>
      <c r="LMA2907" s="173"/>
      <c r="LVV2907" s="173"/>
      <c r="LVW2907" s="173"/>
      <c r="MFR2907" s="173"/>
      <c r="MFS2907" s="173"/>
      <c r="MPN2907" s="173"/>
      <c r="MPO2907" s="173"/>
      <c r="MZJ2907" s="173"/>
      <c r="MZK2907" s="173"/>
      <c r="NJF2907" s="173"/>
      <c r="NJG2907" s="173"/>
      <c r="NTB2907" s="173"/>
      <c r="NTC2907" s="173"/>
      <c r="OCX2907" s="173"/>
      <c r="OCY2907" s="173"/>
      <c r="OMT2907" s="173"/>
      <c r="OMU2907" s="173"/>
      <c r="OWP2907" s="173"/>
      <c r="OWQ2907" s="173"/>
      <c r="PGL2907" s="173"/>
      <c r="PGM2907" s="173"/>
      <c r="PQH2907" s="173"/>
      <c r="PQI2907" s="173"/>
      <c r="QAD2907" s="173"/>
      <c r="QAE2907" s="173"/>
      <c r="QJZ2907" s="173"/>
      <c r="QKA2907" s="173"/>
      <c r="QTV2907" s="173"/>
      <c r="QTW2907" s="173"/>
      <c r="RDR2907" s="173"/>
      <c r="RDS2907" s="173"/>
      <c r="RNN2907" s="173"/>
      <c r="RNO2907" s="173"/>
      <c r="RXJ2907" s="173"/>
      <c r="RXK2907" s="173"/>
      <c r="SHF2907" s="173"/>
      <c r="SHG2907" s="173"/>
      <c r="SRB2907" s="173"/>
      <c r="SRC2907" s="173"/>
      <c r="TAX2907" s="173"/>
      <c r="TAY2907" s="173"/>
      <c r="TKT2907" s="173"/>
      <c r="TKU2907" s="173"/>
      <c r="TUP2907" s="173"/>
      <c r="TUQ2907" s="173"/>
      <c r="UEL2907" s="173"/>
      <c r="UEM2907" s="173"/>
      <c r="UOH2907" s="173"/>
      <c r="UOI2907" s="173"/>
      <c r="UYD2907" s="173"/>
      <c r="UYE2907" s="173"/>
      <c r="VHZ2907" s="173"/>
      <c r="VIA2907" s="173"/>
      <c r="VRV2907" s="173"/>
      <c r="VRW2907" s="173"/>
      <c r="WBR2907" s="173"/>
      <c r="WBS2907" s="173"/>
      <c r="WLN2907" s="173"/>
      <c r="WLO2907" s="173"/>
      <c r="WVJ2907" s="173"/>
      <c r="WVK2907" s="173"/>
    </row>
    <row r="2908" spans="1:771 1026:1795 2050:2819 3074:3843 4098:4867 5122:5891 6146:6915 7170:7939 8194:8963 9218:9987 10242:11011 11266:12035 12290:13059 13314:14083 14338:15107 15362:16131" ht="31.2" x14ac:dyDescent="0.3">
      <c r="A2908" s="88">
        <v>14</v>
      </c>
      <c r="B2908" s="61" t="s">
        <v>2182</v>
      </c>
      <c r="C2908" s="30" t="s">
        <v>2186</v>
      </c>
      <c r="D2908" s="89" t="s">
        <v>891</v>
      </c>
      <c r="E2908" s="78"/>
      <c r="F2908" s="90"/>
      <c r="G2908" s="33"/>
      <c r="H2908" s="34"/>
    </row>
    <row r="2909" spans="1:771 1026:1795 2050:2819 3074:3843 4098:4867 5122:5891 6146:6915 7170:7939 8194:8963 9218:9987 10242:11011 11266:12035 12290:13059 13314:14083 14338:15107 15362:16131" x14ac:dyDescent="0.3">
      <c r="A2909" s="91"/>
      <c r="B2909" s="37" t="s">
        <v>180</v>
      </c>
      <c r="C2909" s="47" t="s">
        <v>35</v>
      </c>
      <c r="D2909" s="92"/>
      <c r="E2909" s="93"/>
      <c r="F2909" s="94"/>
      <c r="G2909" s="41">
        <f>SUM(G2910:G2914)</f>
        <v>20120300</v>
      </c>
      <c r="H2909" s="93"/>
    </row>
    <row r="2910" spans="1:771 1026:1795 2050:2819 3074:3843 4098:4867 5122:5891 6146:6915 7170:7939 8194:8963 9218:9987 10242:11011 11266:12035 12290:13059 13314:14083 14338:15107 15362:16131" ht="93.6" x14ac:dyDescent="0.3">
      <c r="A2910" s="95"/>
      <c r="B2910" s="37" t="s">
        <v>2183</v>
      </c>
      <c r="C2910" s="48" t="s">
        <v>2188</v>
      </c>
      <c r="D2910" s="116" t="s">
        <v>891</v>
      </c>
      <c r="E2910" s="97" t="s">
        <v>2187</v>
      </c>
      <c r="F2910" s="99"/>
      <c r="G2910" s="40">
        <f>E2910*F2910</f>
        <v>0</v>
      </c>
      <c r="H2910" s="98" t="s">
        <v>2604</v>
      </c>
    </row>
    <row r="2911" spans="1:771 1026:1795 2050:2819 3074:3843 4098:4867 5122:5891 6146:6915 7170:7939 8194:8963 9218:9987 10242:11011 11266:12035 12290:13059 13314:14083 14338:15107 15362:16131" ht="78" x14ac:dyDescent="0.3">
      <c r="A2911" s="95"/>
      <c r="B2911" s="46" t="s">
        <v>2184</v>
      </c>
      <c r="C2911" s="98" t="s">
        <v>2189</v>
      </c>
      <c r="D2911" s="116" t="s">
        <v>891</v>
      </c>
      <c r="E2911" s="128">
        <f>((1.1+1.25)*7.95)/2</f>
        <v>9.3412500000000005</v>
      </c>
      <c r="F2911" s="99"/>
      <c r="G2911" s="40">
        <f>E2911*F2911</f>
        <v>0</v>
      </c>
      <c r="H2911" s="98" t="s">
        <v>2453</v>
      </c>
    </row>
    <row r="2912" spans="1:771 1026:1795 2050:2819 3074:3843 4098:4867 5122:5891 6146:6915 7170:7939 8194:8963 9218:9987 10242:11011 11266:12035 12290:13059 13314:14083 14338:15107 15362:16131" x14ac:dyDescent="0.3">
      <c r="A2912" s="115"/>
      <c r="B2912" s="50" t="s">
        <v>2185</v>
      </c>
      <c r="C2912" s="66" t="s">
        <v>2190</v>
      </c>
      <c r="D2912" s="116" t="s">
        <v>891</v>
      </c>
      <c r="E2912" s="63">
        <v>12.3</v>
      </c>
      <c r="F2912" s="74">
        <v>361000</v>
      </c>
      <c r="G2912" s="40">
        <f>E2912*F2912</f>
        <v>4440300</v>
      </c>
      <c r="H2912" s="63"/>
    </row>
    <row r="2913" spans="1:771 1026:1795 2050:2819 3074:3843 4098:4867 5122:5891 6146:6915 7170:7939 8194:8963 9218:9987 10242:11011 11266:12035 12290:13059 13314:14083 14338:15107 15362:16131" x14ac:dyDescent="0.3">
      <c r="A2913" s="53"/>
      <c r="B2913" s="54"/>
      <c r="C2913" s="145" t="s">
        <v>2191</v>
      </c>
      <c r="D2913" s="124" t="s">
        <v>891</v>
      </c>
      <c r="E2913" s="5">
        <v>39.200000000000003</v>
      </c>
      <c r="F2913" s="6">
        <v>400000</v>
      </c>
      <c r="G2913" s="57">
        <f>E2913*F2913</f>
        <v>15680000.000000002</v>
      </c>
      <c r="H2913" s="68"/>
    </row>
    <row r="2914" spans="1:771 1026:1795 2050:2819 3074:3843 4098:4867 5122:5891 6146:6915 7170:7939 8194:8963 9218:9987 10242:11011 11266:12035 12290:13059 13314:14083 14338:15107 15362:16131" s="35" customFormat="1" ht="65.400000000000006" thickBot="1" x14ac:dyDescent="0.35">
      <c r="A2914" s="53"/>
      <c r="B2914" s="54"/>
      <c r="C2914" s="55" t="s">
        <v>2331</v>
      </c>
      <c r="D2914" s="56"/>
      <c r="E2914" s="5"/>
      <c r="F2914" s="6"/>
      <c r="G2914" s="57"/>
      <c r="H2914" s="58"/>
    </row>
    <row r="2915" spans="1:771 1026:1795 2050:2819 3074:3843 4098:4867 5122:5891 6146:6915 7170:7939 8194:8963 9218:9987 10242:11011 11266:12035 12290:13059 13314:14083 14338:15107 15362:16131" s="177" customFormat="1" ht="31.8" thickBot="1" x14ac:dyDescent="0.35">
      <c r="A2915" s="154"/>
      <c r="B2915" s="155" t="s">
        <v>26</v>
      </c>
      <c r="C2915" s="156"/>
      <c r="D2915" s="154"/>
      <c r="E2915" s="157"/>
      <c r="F2915" s="158"/>
      <c r="G2915" s="159">
        <f>SUM(G2908:G2913)/2</f>
        <v>20120300</v>
      </c>
      <c r="H2915" s="160"/>
      <c r="IX2915" s="173"/>
      <c r="IY2915" s="173"/>
      <c r="ST2915" s="173"/>
      <c r="SU2915" s="173"/>
      <c r="ACP2915" s="173"/>
      <c r="ACQ2915" s="173"/>
      <c r="AML2915" s="173"/>
      <c r="AMM2915" s="173"/>
      <c r="AWH2915" s="173"/>
      <c r="AWI2915" s="173"/>
      <c r="BGD2915" s="173"/>
      <c r="BGE2915" s="173"/>
      <c r="BPZ2915" s="173"/>
      <c r="BQA2915" s="173"/>
      <c r="BZV2915" s="173"/>
      <c r="BZW2915" s="173"/>
      <c r="CJR2915" s="173"/>
      <c r="CJS2915" s="173"/>
      <c r="CTN2915" s="173"/>
      <c r="CTO2915" s="173"/>
      <c r="DDJ2915" s="173"/>
      <c r="DDK2915" s="173"/>
      <c r="DNF2915" s="173"/>
      <c r="DNG2915" s="173"/>
      <c r="DXB2915" s="173"/>
      <c r="DXC2915" s="173"/>
      <c r="EGX2915" s="173"/>
      <c r="EGY2915" s="173"/>
      <c r="EQT2915" s="173"/>
      <c r="EQU2915" s="173"/>
      <c r="FAP2915" s="173"/>
      <c r="FAQ2915" s="173"/>
      <c r="FKL2915" s="173"/>
      <c r="FKM2915" s="173"/>
      <c r="FUH2915" s="173"/>
      <c r="FUI2915" s="173"/>
      <c r="GED2915" s="173"/>
      <c r="GEE2915" s="173"/>
      <c r="GNZ2915" s="173"/>
      <c r="GOA2915" s="173"/>
      <c r="GXV2915" s="173"/>
      <c r="GXW2915" s="173"/>
      <c r="HHR2915" s="173"/>
      <c r="HHS2915" s="173"/>
      <c r="HRN2915" s="173"/>
      <c r="HRO2915" s="173"/>
      <c r="IBJ2915" s="173"/>
      <c r="IBK2915" s="173"/>
      <c r="ILF2915" s="173"/>
      <c r="ILG2915" s="173"/>
      <c r="IVB2915" s="173"/>
      <c r="IVC2915" s="173"/>
      <c r="JEX2915" s="173"/>
      <c r="JEY2915" s="173"/>
      <c r="JOT2915" s="173"/>
      <c r="JOU2915" s="173"/>
      <c r="JYP2915" s="173"/>
      <c r="JYQ2915" s="173"/>
      <c r="KIL2915" s="173"/>
      <c r="KIM2915" s="173"/>
      <c r="KSH2915" s="173"/>
      <c r="KSI2915" s="173"/>
      <c r="LCD2915" s="173"/>
      <c r="LCE2915" s="173"/>
      <c r="LLZ2915" s="173"/>
      <c r="LMA2915" s="173"/>
      <c r="LVV2915" s="173"/>
      <c r="LVW2915" s="173"/>
      <c r="MFR2915" s="173"/>
      <c r="MFS2915" s="173"/>
      <c r="MPN2915" s="173"/>
      <c r="MPO2915" s="173"/>
      <c r="MZJ2915" s="173"/>
      <c r="MZK2915" s="173"/>
      <c r="NJF2915" s="173"/>
      <c r="NJG2915" s="173"/>
      <c r="NTB2915" s="173"/>
      <c r="NTC2915" s="173"/>
      <c r="OCX2915" s="173"/>
      <c r="OCY2915" s="173"/>
      <c r="OMT2915" s="173"/>
      <c r="OMU2915" s="173"/>
      <c r="OWP2915" s="173"/>
      <c r="OWQ2915" s="173"/>
      <c r="PGL2915" s="173"/>
      <c r="PGM2915" s="173"/>
      <c r="PQH2915" s="173"/>
      <c r="PQI2915" s="173"/>
      <c r="QAD2915" s="173"/>
      <c r="QAE2915" s="173"/>
      <c r="QJZ2915" s="173"/>
      <c r="QKA2915" s="173"/>
      <c r="QTV2915" s="173"/>
      <c r="QTW2915" s="173"/>
      <c r="RDR2915" s="173"/>
      <c r="RDS2915" s="173"/>
      <c r="RNN2915" s="173"/>
      <c r="RNO2915" s="173"/>
      <c r="RXJ2915" s="173"/>
      <c r="RXK2915" s="173"/>
      <c r="SHF2915" s="173"/>
      <c r="SHG2915" s="173"/>
      <c r="SRB2915" s="173"/>
      <c r="SRC2915" s="173"/>
      <c r="TAX2915" s="173"/>
      <c r="TAY2915" s="173"/>
      <c r="TKT2915" s="173"/>
      <c r="TKU2915" s="173"/>
      <c r="TUP2915" s="173"/>
      <c r="TUQ2915" s="173"/>
      <c r="UEL2915" s="173"/>
      <c r="UEM2915" s="173"/>
      <c r="UOH2915" s="173"/>
      <c r="UOI2915" s="173"/>
      <c r="UYD2915" s="173"/>
      <c r="UYE2915" s="173"/>
      <c r="VHZ2915" s="173"/>
      <c r="VIA2915" s="173"/>
      <c r="VRV2915" s="173"/>
      <c r="VRW2915" s="173"/>
      <c r="WBR2915" s="173"/>
      <c r="WBS2915" s="173"/>
      <c r="WLN2915" s="173"/>
      <c r="WLO2915" s="173"/>
      <c r="WVJ2915" s="173"/>
      <c r="WVK2915" s="173"/>
    </row>
    <row r="2916" spans="1:771 1026:1795 2050:2819 3074:3843 4098:4867 5122:5891 6146:6915 7170:7939 8194:8963 9218:9987 10242:11011 11266:12035 12290:13059 13314:14083 14338:15107 15362:16131" ht="27.6" x14ac:dyDescent="0.3">
      <c r="A2916" s="164">
        <v>15</v>
      </c>
      <c r="B2916" s="29" t="s">
        <v>2246</v>
      </c>
      <c r="C2916" s="30" t="s">
        <v>2247</v>
      </c>
      <c r="D2916" s="31" t="s">
        <v>13</v>
      </c>
      <c r="E2916" s="32"/>
      <c r="F2916" s="33"/>
      <c r="G2916" s="33"/>
      <c r="H2916" s="34" t="s">
        <v>2248</v>
      </c>
    </row>
    <row r="2917" spans="1:771 1026:1795 2050:2819 3074:3843 4098:4867 5122:5891 6146:6915 7170:7939 8194:8963 9218:9987 10242:11011 11266:12035 12290:13059 13314:14083 14338:15107 15362:16131" ht="18.600000000000001" x14ac:dyDescent="0.3">
      <c r="A2917" s="167"/>
      <c r="B2917" s="37" t="s">
        <v>78</v>
      </c>
      <c r="C2917" s="47" t="s">
        <v>35</v>
      </c>
      <c r="D2917" s="39" t="s">
        <v>13</v>
      </c>
      <c r="E2917" s="44"/>
      <c r="F2917" s="40"/>
      <c r="G2917" s="41">
        <f>SUM(G2918:G2920)</f>
        <v>0</v>
      </c>
      <c r="H2917" s="42"/>
    </row>
    <row r="2918" spans="1:771 1026:1795 2050:2819 3074:3843 4098:4867 5122:5891 6146:6915 7170:7939 8194:8963 9218:9987 10242:11011 11266:12035 12290:13059 13314:14083 14338:15107 15362:16131" ht="55.2" x14ac:dyDescent="0.3">
      <c r="A2918" s="167"/>
      <c r="B2918" s="37" t="s">
        <v>1910</v>
      </c>
      <c r="C2918" s="66" t="s">
        <v>1911</v>
      </c>
      <c r="D2918" s="39" t="s">
        <v>13</v>
      </c>
      <c r="E2918" s="44">
        <f>2*8.5</f>
        <v>17</v>
      </c>
      <c r="F2918" s="40"/>
      <c r="G2918" s="40">
        <f>E2918*F2918</f>
        <v>0</v>
      </c>
      <c r="H2918" s="42" t="s">
        <v>2581</v>
      </c>
    </row>
    <row r="2919" spans="1:771 1026:1795 2050:2819 3074:3843 4098:4867 5122:5891 6146:6915 7170:7939 8194:8963 9218:9987 10242:11011 11266:12035 12290:13059 13314:14083 14338:15107 15362:16131" ht="93.6" x14ac:dyDescent="0.3">
      <c r="A2919" s="167"/>
      <c r="B2919" s="46" t="s">
        <v>1912</v>
      </c>
      <c r="C2919" s="66"/>
      <c r="D2919" s="39"/>
      <c r="E2919" s="44"/>
      <c r="F2919" s="40"/>
      <c r="G2919" s="40">
        <f>E2919*F2919</f>
        <v>0</v>
      </c>
      <c r="H2919" s="42"/>
    </row>
    <row r="2920" spans="1:771 1026:1795 2050:2819 3074:3843 4098:4867 5122:5891 6146:6915 7170:7939 8194:8963 9218:9987 10242:11011 11266:12035 12290:13059 13314:14083 14338:15107 15362:16131" s="35" customFormat="1" ht="65.400000000000006" thickBot="1" x14ac:dyDescent="0.35">
      <c r="A2920" s="53"/>
      <c r="B2920" s="54"/>
      <c r="C2920" s="55" t="s">
        <v>2331</v>
      </c>
      <c r="D2920" s="56"/>
      <c r="E2920" s="5"/>
      <c r="F2920" s="6"/>
      <c r="G2920" s="57"/>
      <c r="H2920" s="58"/>
    </row>
    <row r="2921" spans="1:771 1026:1795 2050:2819 3074:3843 4098:4867 5122:5891 6146:6915 7170:7939 8194:8963 9218:9987 10242:11011 11266:12035 12290:13059 13314:14083 14338:15107 15362:16131" s="177" customFormat="1" ht="31.8" thickBot="1" x14ac:dyDescent="0.35">
      <c r="A2921" s="174"/>
      <c r="B2921" s="155" t="s">
        <v>26</v>
      </c>
      <c r="C2921" s="175"/>
      <c r="D2921" s="23"/>
      <c r="E2921" s="176"/>
      <c r="F2921" s="159"/>
      <c r="G2921" s="159">
        <f>SUM(G2916:G2919)/2</f>
        <v>0</v>
      </c>
      <c r="H2921" s="160"/>
      <c r="IX2921" s="173"/>
      <c r="IY2921" s="173"/>
      <c r="ST2921" s="173"/>
      <c r="SU2921" s="173"/>
      <c r="ACP2921" s="173"/>
      <c r="ACQ2921" s="173"/>
      <c r="AML2921" s="173"/>
      <c r="AMM2921" s="173"/>
      <c r="AWH2921" s="173"/>
      <c r="AWI2921" s="173"/>
      <c r="BGD2921" s="173"/>
      <c r="BGE2921" s="173"/>
      <c r="BPZ2921" s="173"/>
      <c r="BQA2921" s="173"/>
      <c r="BZV2921" s="173"/>
      <c r="BZW2921" s="173"/>
      <c r="CJR2921" s="173"/>
      <c r="CJS2921" s="173"/>
      <c r="CTN2921" s="173"/>
      <c r="CTO2921" s="173"/>
      <c r="DDJ2921" s="173"/>
      <c r="DDK2921" s="173"/>
      <c r="DNF2921" s="173"/>
      <c r="DNG2921" s="173"/>
      <c r="DXB2921" s="173"/>
      <c r="DXC2921" s="173"/>
      <c r="EGX2921" s="173"/>
      <c r="EGY2921" s="173"/>
      <c r="EQT2921" s="173"/>
      <c r="EQU2921" s="173"/>
      <c r="FAP2921" s="173"/>
      <c r="FAQ2921" s="173"/>
      <c r="FKL2921" s="173"/>
      <c r="FKM2921" s="173"/>
      <c r="FUH2921" s="173"/>
      <c r="FUI2921" s="173"/>
      <c r="GED2921" s="173"/>
      <c r="GEE2921" s="173"/>
      <c r="GNZ2921" s="173"/>
      <c r="GOA2921" s="173"/>
      <c r="GXV2921" s="173"/>
      <c r="GXW2921" s="173"/>
      <c r="HHR2921" s="173"/>
      <c r="HHS2921" s="173"/>
      <c r="HRN2921" s="173"/>
      <c r="HRO2921" s="173"/>
      <c r="IBJ2921" s="173"/>
      <c r="IBK2921" s="173"/>
      <c r="ILF2921" s="173"/>
      <c r="ILG2921" s="173"/>
      <c r="IVB2921" s="173"/>
      <c r="IVC2921" s="173"/>
      <c r="JEX2921" s="173"/>
      <c r="JEY2921" s="173"/>
      <c r="JOT2921" s="173"/>
      <c r="JOU2921" s="173"/>
      <c r="JYP2921" s="173"/>
      <c r="JYQ2921" s="173"/>
      <c r="KIL2921" s="173"/>
      <c r="KIM2921" s="173"/>
      <c r="KSH2921" s="173"/>
      <c r="KSI2921" s="173"/>
      <c r="LCD2921" s="173"/>
      <c r="LCE2921" s="173"/>
      <c r="LLZ2921" s="173"/>
      <c r="LMA2921" s="173"/>
      <c r="LVV2921" s="173"/>
      <c r="LVW2921" s="173"/>
      <c r="MFR2921" s="173"/>
      <c r="MFS2921" s="173"/>
      <c r="MPN2921" s="173"/>
      <c r="MPO2921" s="173"/>
      <c r="MZJ2921" s="173"/>
      <c r="MZK2921" s="173"/>
      <c r="NJF2921" s="173"/>
      <c r="NJG2921" s="173"/>
      <c r="NTB2921" s="173"/>
      <c r="NTC2921" s="173"/>
      <c r="OCX2921" s="173"/>
      <c r="OCY2921" s="173"/>
      <c r="OMT2921" s="173"/>
      <c r="OMU2921" s="173"/>
      <c r="OWP2921" s="173"/>
      <c r="OWQ2921" s="173"/>
      <c r="PGL2921" s="173"/>
      <c r="PGM2921" s="173"/>
      <c r="PQH2921" s="173"/>
      <c r="PQI2921" s="173"/>
      <c r="QAD2921" s="173"/>
      <c r="QAE2921" s="173"/>
      <c r="QJZ2921" s="173"/>
      <c r="QKA2921" s="173"/>
      <c r="QTV2921" s="173"/>
      <c r="QTW2921" s="173"/>
      <c r="RDR2921" s="173"/>
      <c r="RDS2921" s="173"/>
      <c r="RNN2921" s="173"/>
      <c r="RNO2921" s="173"/>
      <c r="RXJ2921" s="173"/>
      <c r="RXK2921" s="173"/>
      <c r="SHF2921" s="173"/>
      <c r="SHG2921" s="173"/>
      <c r="SRB2921" s="173"/>
      <c r="SRC2921" s="173"/>
      <c r="TAX2921" s="173"/>
      <c r="TAY2921" s="173"/>
      <c r="TKT2921" s="173"/>
      <c r="TKU2921" s="173"/>
      <c r="TUP2921" s="173"/>
      <c r="TUQ2921" s="173"/>
      <c r="UEL2921" s="173"/>
      <c r="UEM2921" s="173"/>
      <c r="UOH2921" s="173"/>
      <c r="UOI2921" s="173"/>
      <c r="UYD2921" s="173"/>
      <c r="UYE2921" s="173"/>
      <c r="VHZ2921" s="173"/>
      <c r="VIA2921" s="173"/>
      <c r="VRV2921" s="173"/>
      <c r="VRW2921" s="173"/>
      <c r="WBR2921" s="173"/>
      <c r="WBS2921" s="173"/>
      <c r="WLN2921" s="173"/>
      <c r="WLO2921" s="173"/>
      <c r="WVJ2921" s="173"/>
      <c r="WVK2921" s="173"/>
    </row>
    <row r="2922" spans="1:771 1026:1795 2050:2819 3074:3843 4098:4867 5122:5891 6146:6915 7170:7939 8194:8963 9218:9987 10242:11011 11266:12035 12290:13059 13314:14083 14338:15107 15362:16131" ht="31.2" x14ac:dyDescent="0.3">
      <c r="A2922" s="164">
        <v>16</v>
      </c>
      <c r="B2922" s="29" t="s">
        <v>2276</v>
      </c>
      <c r="C2922" s="30" t="s">
        <v>2275</v>
      </c>
      <c r="D2922" s="31" t="s">
        <v>13</v>
      </c>
      <c r="E2922" s="100">
        <v>11.9</v>
      </c>
      <c r="F2922" s="33"/>
      <c r="G2922" s="33">
        <f>E2922*F2922</f>
        <v>0</v>
      </c>
      <c r="H2922" s="34" t="s">
        <v>2277</v>
      </c>
    </row>
    <row r="2923" spans="1:771 1026:1795 2050:2819 3074:3843 4098:4867 5122:5891 6146:6915 7170:7939 8194:8963 9218:9987 10242:11011 11266:12035 12290:13059 13314:14083 14338:15107 15362:16131" x14ac:dyDescent="0.3">
      <c r="A2923" s="167"/>
      <c r="B2923" s="37" t="s">
        <v>2059</v>
      </c>
      <c r="C2923" s="47" t="s">
        <v>35</v>
      </c>
      <c r="D2923" s="39"/>
      <c r="E2923" s="44"/>
      <c r="F2923" s="40"/>
      <c r="G2923" s="41">
        <f>SUM(G2924:G2926)</f>
        <v>0</v>
      </c>
      <c r="H2923" s="42"/>
    </row>
    <row r="2924" spans="1:771 1026:1795 2050:2819 3074:3843 4098:4867 5122:5891 6146:6915 7170:7939 8194:8963 9218:9987 10242:11011 11266:12035 12290:13059 13314:14083 14338:15107 15362:16131" ht="31.2" x14ac:dyDescent="0.3">
      <c r="A2924" s="167"/>
      <c r="B2924" s="37" t="s">
        <v>2060</v>
      </c>
      <c r="C2924" s="66" t="s">
        <v>2049</v>
      </c>
      <c r="D2924" s="39" t="s">
        <v>13</v>
      </c>
      <c r="E2924" s="44">
        <f>2.1*3.5</f>
        <v>7.3500000000000005</v>
      </c>
      <c r="F2924" s="40"/>
      <c r="G2924" s="40">
        <f>E2924*F2924</f>
        <v>0</v>
      </c>
      <c r="H2924" s="42" t="s">
        <v>2278</v>
      </c>
    </row>
    <row r="2925" spans="1:771 1026:1795 2050:2819 3074:3843 4098:4867 5122:5891 6146:6915 7170:7939 8194:8963 9218:9987 10242:11011 11266:12035 12290:13059 13314:14083 14338:15107 15362:16131" ht="78" x14ac:dyDescent="0.3">
      <c r="A2925" s="170"/>
      <c r="B2925" s="130" t="s">
        <v>2054</v>
      </c>
      <c r="C2925" s="82"/>
      <c r="D2925" s="56"/>
      <c r="E2925" s="71"/>
      <c r="F2925" s="57"/>
      <c r="G2925" s="57">
        <f>E2925*F2925</f>
        <v>0</v>
      </c>
      <c r="H2925" s="58" t="s">
        <v>235</v>
      </c>
    </row>
    <row r="2926" spans="1:771 1026:1795 2050:2819 3074:3843 4098:4867 5122:5891 6146:6915 7170:7939 8194:8963 9218:9987 10242:11011 11266:12035 12290:13059 13314:14083 14338:15107 15362:16131" s="35" customFormat="1" ht="65.400000000000006" thickBot="1" x14ac:dyDescent="0.35">
      <c r="A2926" s="53"/>
      <c r="B2926" s="54"/>
      <c r="C2926" s="55" t="s">
        <v>2331</v>
      </c>
      <c r="D2926" s="56"/>
      <c r="E2926" s="5"/>
      <c r="F2926" s="6"/>
      <c r="G2926" s="57"/>
      <c r="H2926" s="58"/>
    </row>
    <row r="2927" spans="1:771 1026:1795 2050:2819 3074:3843 4098:4867 5122:5891 6146:6915 7170:7939 8194:8963 9218:9987 10242:11011 11266:12035 12290:13059 13314:14083 14338:15107 15362:16131" s="177" customFormat="1" ht="31.8" thickBot="1" x14ac:dyDescent="0.35">
      <c r="A2927" s="174"/>
      <c r="B2927" s="155" t="s">
        <v>26</v>
      </c>
      <c r="C2927" s="175"/>
      <c r="D2927" s="23"/>
      <c r="E2927" s="176"/>
      <c r="F2927" s="159"/>
      <c r="G2927" s="159">
        <f>SUM(G2922:G2925)/2</f>
        <v>0</v>
      </c>
      <c r="H2927" s="160"/>
      <c r="IX2927" s="173"/>
      <c r="IY2927" s="173"/>
      <c r="ST2927" s="173"/>
      <c r="SU2927" s="173"/>
      <c r="ACP2927" s="173"/>
      <c r="ACQ2927" s="173"/>
      <c r="AML2927" s="173"/>
      <c r="AMM2927" s="173"/>
      <c r="AWH2927" s="173"/>
      <c r="AWI2927" s="173"/>
      <c r="BGD2927" s="173"/>
      <c r="BGE2927" s="173"/>
      <c r="BPZ2927" s="173"/>
      <c r="BQA2927" s="173"/>
      <c r="BZV2927" s="173"/>
      <c r="BZW2927" s="173"/>
      <c r="CJR2927" s="173"/>
      <c r="CJS2927" s="173"/>
      <c r="CTN2927" s="173"/>
      <c r="CTO2927" s="173"/>
      <c r="DDJ2927" s="173"/>
      <c r="DDK2927" s="173"/>
      <c r="DNF2927" s="173"/>
      <c r="DNG2927" s="173"/>
      <c r="DXB2927" s="173"/>
      <c r="DXC2927" s="173"/>
      <c r="EGX2927" s="173"/>
      <c r="EGY2927" s="173"/>
      <c r="EQT2927" s="173"/>
      <c r="EQU2927" s="173"/>
      <c r="FAP2927" s="173"/>
      <c r="FAQ2927" s="173"/>
      <c r="FKL2927" s="173"/>
      <c r="FKM2927" s="173"/>
      <c r="FUH2927" s="173"/>
      <c r="FUI2927" s="173"/>
      <c r="GED2927" s="173"/>
      <c r="GEE2927" s="173"/>
      <c r="GNZ2927" s="173"/>
      <c r="GOA2927" s="173"/>
      <c r="GXV2927" s="173"/>
      <c r="GXW2927" s="173"/>
      <c r="HHR2927" s="173"/>
      <c r="HHS2927" s="173"/>
      <c r="HRN2927" s="173"/>
      <c r="HRO2927" s="173"/>
      <c r="IBJ2927" s="173"/>
      <c r="IBK2927" s="173"/>
      <c r="ILF2927" s="173"/>
      <c r="ILG2927" s="173"/>
      <c r="IVB2927" s="173"/>
      <c r="IVC2927" s="173"/>
      <c r="JEX2927" s="173"/>
      <c r="JEY2927" s="173"/>
      <c r="JOT2927" s="173"/>
      <c r="JOU2927" s="173"/>
      <c r="JYP2927" s="173"/>
      <c r="JYQ2927" s="173"/>
      <c r="KIL2927" s="173"/>
      <c r="KIM2927" s="173"/>
      <c r="KSH2927" s="173"/>
      <c r="KSI2927" s="173"/>
      <c r="LCD2927" s="173"/>
      <c r="LCE2927" s="173"/>
      <c r="LLZ2927" s="173"/>
      <c r="LMA2927" s="173"/>
      <c r="LVV2927" s="173"/>
      <c r="LVW2927" s="173"/>
      <c r="MFR2927" s="173"/>
      <c r="MFS2927" s="173"/>
      <c r="MPN2927" s="173"/>
      <c r="MPO2927" s="173"/>
      <c r="MZJ2927" s="173"/>
      <c r="MZK2927" s="173"/>
      <c r="NJF2927" s="173"/>
      <c r="NJG2927" s="173"/>
      <c r="NTB2927" s="173"/>
      <c r="NTC2927" s="173"/>
      <c r="OCX2927" s="173"/>
      <c r="OCY2927" s="173"/>
      <c r="OMT2927" s="173"/>
      <c r="OMU2927" s="173"/>
      <c r="OWP2927" s="173"/>
      <c r="OWQ2927" s="173"/>
      <c r="PGL2927" s="173"/>
      <c r="PGM2927" s="173"/>
      <c r="PQH2927" s="173"/>
      <c r="PQI2927" s="173"/>
      <c r="QAD2927" s="173"/>
      <c r="QAE2927" s="173"/>
      <c r="QJZ2927" s="173"/>
      <c r="QKA2927" s="173"/>
      <c r="QTV2927" s="173"/>
      <c r="QTW2927" s="173"/>
      <c r="RDR2927" s="173"/>
      <c r="RDS2927" s="173"/>
      <c r="RNN2927" s="173"/>
      <c r="RNO2927" s="173"/>
      <c r="RXJ2927" s="173"/>
      <c r="RXK2927" s="173"/>
      <c r="SHF2927" s="173"/>
      <c r="SHG2927" s="173"/>
      <c r="SRB2927" s="173"/>
      <c r="SRC2927" s="173"/>
      <c r="TAX2927" s="173"/>
      <c r="TAY2927" s="173"/>
      <c r="TKT2927" s="173"/>
      <c r="TKU2927" s="173"/>
      <c r="TUP2927" s="173"/>
      <c r="TUQ2927" s="173"/>
      <c r="UEL2927" s="173"/>
      <c r="UEM2927" s="173"/>
      <c r="UOH2927" s="173"/>
      <c r="UOI2927" s="173"/>
      <c r="UYD2927" s="173"/>
      <c r="UYE2927" s="173"/>
      <c r="VHZ2927" s="173"/>
      <c r="VIA2927" s="173"/>
      <c r="VRV2927" s="173"/>
      <c r="VRW2927" s="173"/>
      <c r="WBR2927" s="173"/>
      <c r="WBS2927" s="173"/>
      <c r="WLN2927" s="173"/>
      <c r="WLO2927" s="173"/>
      <c r="WVJ2927" s="173"/>
      <c r="WVK2927" s="173"/>
    </row>
    <row r="2928" spans="1:771 1026:1795 2050:2819 3074:3843 4098:4867 5122:5891 6146:6915 7170:7939 8194:8963 9218:9987 10242:11011 11266:12035 12290:13059 13314:14083 14338:15107 15362:16131" s="35" customFormat="1" ht="27.6" x14ac:dyDescent="0.3">
      <c r="A2928" s="88">
        <v>17</v>
      </c>
      <c r="B2928" s="61" t="s">
        <v>2294</v>
      </c>
      <c r="C2928" s="34" t="s">
        <v>2605</v>
      </c>
      <c r="D2928" s="89"/>
      <c r="E2928" s="78"/>
      <c r="F2928" s="90"/>
      <c r="G2928" s="33"/>
      <c r="H2928" s="34" t="s">
        <v>2295</v>
      </c>
    </row>
    <row r="2929" spans="1:771 1026:1795 2050:2819 3074:3843 4098:4867 5122:5891 6146:6915 7170:7939 8194:8963 9218:9987 10242:11011 11266:12035 12290:13059 13314:14083 14338:15107 15362:16131" s="35" customFormat="1" x14ac:dyDescent="0.3">
      <c r="A2929" s="91"/>
      <c r="B2929" s="37" t="s">
        <v>1880</v>
      </c>
      <c r="C2929" s="47" t="s">
        <v>35</v>
      </c>
      <c r="D2929" s="116"/>
      <c r="E2929" s="63"/>
      <c r="F2929" s="117"/>
      <c r="G2929" s="41">
        <f>SUM(G2930:G2933)</f>
        <v>2592000</v>
      </c>
      <c r="H2929" s="63"/>
    </row>
    <row r="2930" spans="1:771 1026:1795 2050:2819 3074:3843 4098:4867 5122:5891 6146:6915 7170:7939 8194:8963 9218:9987 10242:11011 11266:12035 12290:13059 13314:14083 14338:15107 15362:16131" s="35" customFormat="1" ht="93.6" x14ac:dyDescent="0.3">
      <c r="A2930" s="95"/>
      <c r="B2930" s="37" t="s">
        <v>1881</v>
      </c>
      <c r="C2930" s="48" t="s">
        <v>1892</v>
      </c>
      <c r="D2930" s="39"/>
      <c r="E2930" s="44"/>
      <c r="F2930" s="2"/>
      <c r="G2930" s="40">
        <f>E2930*F2930</f>
        <v>0</v>
      </c>
      <c r="H2930" s="42"/>
    </row>
    <row r="2931" spans="1:771 1026:1795 2050:2819 3074:3843 4098:4867 5122:5891 6146:6915 7170:7939 8194:8963 9218:9987 10242:11011 11266:12035 12290:13059 13314:14083 14338:15107 15362:16131" s="35" customFormat="1" ht="78" x14ac:dyDescent="0.3">
      <c r="A2931" s="95"/>
      <c r="B2931" s="46" t="s">
        <v>1882</v>
      </c>
      <c r="C2931" s="48" t="s">
        <v>15</v>
      </c>
      <c r="D2931" s="39"/>
      <c r="E2931" s="44"/>
      <c r="F2931" s="2"/>
      <c r="G2931" s="40">
        <f>E2931*F2931</f>
        <v>0</v>
      </c>
      <c r="H2931" s="42"/>
    </row>
    <row r="2932" spans="1:771 1026:1795 2050:2819 3074:3843 4098:4867 5122:5891 6146:6915 7170:7939 8194:8963 9218:9987 10242:11011 11266:12035 12290:13059 13314:14083 14338:15107 15362:16131" s="35" customFormat="1" ht="18.600000000000001" x14ac:dyDescent="0.3">
      <c r="A2932" s="115"/>
      <c r="B2932" s="50" t="s">
        <v>1883</v>
      </c>
      <c r="C2932" s="48" t="s">
        <v>1739</v>
      </c>
      <c r="D2932" s="39" t="s">
        <v>13</v>
      </c>
      <c r="E2932" s="44">
        <f>2*6</f>
        <v>12</v>
      </c>
      <c r="F2932" s="2">
        <f>540000*40%</f>
        <v>216000</v>
      </c>
      <c r="G2932" s="40">
        <f>E2932*F2932</f>
        <v>2592000</v>
      </c>
      <c r="H2932" s="20" t="s">
        <v>2374</v>
      </c>
    </row>
    <row r="2933" spans="1:771 1026:1795 2050:2819 3074:3843 4098:4867 5122:5891 6146:6915 7170:7939 8194:8963 9218:9987 10242:11011 11266:12035 12290:13059 13314:14083 14338:15107 15362:16131" s="35" customFormat="1" ht="65.400000000000006" thickBot="1" x14ac:dyDescent="0.35">
      <c r="A2933" s="53"/>
      <c r="B2933" s="54"/>
      <c r="C2933" s="55" t="s">
        <v>2331</v>
      </c>
      <c r="D2933" s="56"/>
      <c r="E2933" s="71"/>
      <c r="F2933" s="57"/>
      <c r="G2933" s="57"/>
      <c r="H2933" s="58"/>
    </row>
    <row r="2934" spans="1:771 1026:1795 2050:2819 3074:3843 4098:4867 5122:5891 6146:6915 7170:7939 8194:8963 9218:9987 10242:11011 11266:12035 12290:13059 13314:14083 14338:15107 15362:16131" s="59" customFormat="1" ht="31.8" thickBot="1" x14ac:dyDescent="0.35">
      <c r="A2934" s="154"/>
      <c r="B2934" s="155" t="s">
        <v>26</v>
      </c>
      <c r="C2934" s="156"/>
      <c r="D2934" s="154"/>
      <c r="E2934" s="157"/>
      <c r="F2934" s="158"/>
      <c r="G2934" s="159">
        <f>SUM(G2928:G2933)/2</f>
        <v>2592000</v>
      </c>
      <c r="H2934" s="160"/>
      <c r="IX2934" s="35"/>
      <c r="IY2934" s="35"/>
      <c r="ST2934" s="35"/>
      <c r="SU2934" s="35"/>
      <c r="ACP2934" s="35"/>
      <c r="ACQ2934" s="35"/>
      <c r="AML2934" s="35"/>
      <c r="AMM2934" s="35"/>
      <c r="AWH2934" s="35"/>
      <c r="AWI2934" s="35"/>
      <c r="BGD2934" s="35"/>
      <c r="BGE2934" s="35"/>
      <c r="BPZ2934" s="35"/>
      <c r="BQA2934" s="35"/>
      <c r="BZV2934" s="35"/>
      <c r="BZW2934" s="35"/>
      <c r="CJR2934" s="35"/>
      <c r="CJS2934" s="35"/>
      <c r="CTN2934" s="35"/>
      <c r="CTO2934" s="35"/>
      <c r="DDJ2934" s="35"/>
      <c r="DDK2934" s="35"/>
      <c r="DNF2934" s="35"/>
      <c r="DNG2934" s="35"/>
      <c r="DXB2934" s="35"/>
      <c r="DXC2934" s="35"/>
      <c r="EGX2934" s="35"/>
      <c r="EGY2934" s="35"/>
      <c r="EQT2934" s="35"/>
      <c r="EQU2934" s="35"/>
      <c r="FAP2934" s="35"/>
      <c r="FAQ2934" s="35"/>
      <c r="FKL2934" s="35"/>
      <c r="FKM2934" s="35"/>
      <c r="FUH2934" s="35"/>
      <c r="FUI2934" s="35"/>
      <c r="GED2934" s="35"/>
      <c r="GEE2934" s="35"/>
      <c r="GNZ2934" s="35"/>
      <c r="GOA2934" s="35"/>
      <c r="GXV2934" s="35"/>
      <c r="GXW2934" s="35"/>
      <c r="HHR2934" s="35"/>
      <c r="HHS2934" s="35"/>
      <c r="HRN2934" s="35"/>
      <c r="HRO2934" s="35"/>
      <c r="IBJ2934" s="35"/>
      <c r="IBK2934" s="35"/>
      <c r="ILF2934" s="35"/>
      <c r="ILG2934" s="35"/>
      <c r="IVB2934" s="35"/>
      <c r="IVC2934" s="35"/>
      <c r="JEX2934" s="35"/>
      <c r="JEY2934" s="35"/>
      <c r="JOT2934" s="35"/>
      <c r="JOU2934" s="35"/>
      <c r="JYP2934" s="35"/>
      <c r="JYQ2934" s="35"/>
      <c r="KIL2934" s="35"/>
      <c r="KIM2934" s="35"/>
      <c r="KSH2934" s="35"/>
      <c r="KSI2934" s="35"/>
      <c r="LCD2934" s="35"/>
      <c r="LCE2934" s="35"/>
      <c r="LLZ2934" s="35"/>
      <c r="LMA2934" s="35"/>
      <c r="LVV2934" s="35"/>
      <c r="LVW2934" s="35"/>
      <c r="MFR2934" s="35"/>
      <c r="MFS2934" s="35"/>
      <c r="MPN2934" s="35"/>
      <c r="MPO2934" s="35"/>
      <c r="MZJ2934" s="35"/>
      <c r="MZK2934" s="35"/>
      <c r="NJF2934" s="35"/>
      <c r="NJG2934" s="35"/>
      <c r="NTB2934" s="35"/>
      <c r="NTC2934" s="35"/>
      <c r="OCX2934" s="35"/>
      <c r="OCY2934" s="35"/>
      <c r="OMT2934" s="35"/>
      <c r="OMU2934" s="35"/>
      <c r="OWP2934" s="35"/>
      <c r="OWQ2934" s="35"/>
      <c r="PGL2934" s="35"/>
      <c r="PGM2934" s="35"/>
      <c r="PQH2934" s="35"/>
      <c r="PQI2934" s="35"/>
      <c r="QAD2934" s="35"/>
      <c r="QAE2934" s="35"/>
      <c r="QJZ2934" s="35"/>
      <c r="QKA2934" s="35"/>
      <c r="QTV2934" s="35"/>
      <c r="QTW2934" s="35"/>
      <c r="RDR2934" s="35"/>
      <c r="RDS2934" s="35"/>
      <c r="RNN2934" s="35"/>
      <c r="RNO2934" s="35"/>
      <c r="RXJ2934" s="35"/>
      <c r="RXK2934" s="35"/>
      <c r="SHF2934" s="35"/>
      <c r="SHG2934" s="35"/>
      <c r="SRB2934" s="35"/>
      <c r="SRC2934" s="35"/>
      <c r="TAX2934" s="35"/>
      <c r="TAY2934" s="35"/>
      <c r="TKT2934" s="35"/>
      <c r="TKU2934" s="35"/>
      <c r="TUP2934" s="35"/>
      <c r="TUQ2934" s="35"/>
      <c r="UEL2934" s="35"/>
      <c r="UEM2934" s="35"/>
      <c r="UOH2934" s="35"/>
      <c r="UOI2934" s="35"/>
      <c r="UYD2934" s="35"/>
      <c r="UYE2934" s="35"/>
      <c r="VHZ2934" s="35"/>
      <c r="VIA2934" s="35"/>
      <c r="VRV2934" s="35"/>
      <c r="VRW2934" s="35"/>
      <c r="WBR2934" s="35"/>
      <c r="WBS2934" s="35"/>
      <c r="WLN2934" s="35"/>
      <c r="WLO2934" s="35"/>
      <c r="WVJ2934" s="35"/>
      <c r="WVK2934" s="35"/>
    </row>
    <row r="2935" spans="1:771 1026:1795 2050:2819 3074:3843 4098:4867 5122:5891 6146:6915 7170:7939 8194:8963 9218:9987 10242:11011 11266:12035 12290:13059 13314:14083 14338:15107 15362:16131" s="199" customFormat="1" ht="18.600000000000001" thickBot="1" x14ac:dyDescent="0.35">
      <c r="A2935" s="193"/>
      <c r="B2935" s="194" t="s">
        <v>2609</v>
      </c>
      <c r="C2935" s="195"/>
      <c r="D2935" s="196"/>
      <c r="E2935" s="194"/>
      <c r="F2935" s="197"/>
      <c r="G2935" s="198">
        <f>SUM(G8:G2934)/3</f>
        <v>67290295160.735413</v>
      </c>
      <c r="H2935" s="198"/>
    </row>
    <row r="2936" spans="1:771 1026:1795 2050:2819 3074:3843 4098:4867 5122:5891 6146:6915 7170:7939 8194:8963 9218:9987 10242:11011 11266:12035 12290:13059 13314:14083 14338:15107 15362:16131" s="204" customFormat="1" ht="18.600000000000001" thickBot="1" x14ac:dyDescent="0.4">
      <c r="A2936" s="193"/>
      <c r="B2936" s="200" t="s">
        <v>2610</v>
      </c>
      <c r="C2936" s="200"/>
      <c r="D2936" s="201"/>
      <c r="E2936" s="200"/>
      <c r="F2936" s="202"/>
      <c r="G2936" s="203">
        <f>G2935*10%</f>
        <v>6729029516.0735416</v>
      </c>
      <c r="H2936" s="200"/>
    </row>
    <row r="2937" spans="1:771 1026:1795 2050:2819 3074:3843 4098:4867 5122:5891 6146:6915 7170:7939 8194:8963 9218:9987 10242:11011 11266:12035 12290:13059 13314:14083 14338:15107 15362:16131" s="204" customFormat="1" ht="18.600000000000001" thickBot="1" x14ac:dyDescent="0.4">
      <c r="A2937" s="193"/>
      <c r="B2937" s="200" t="s">
        <v>2611</v>
      </c>
      <c r="C2937" s="200"/>
      <c r="D2937" s="201"/>
      <c r="E2937" s="200"/>
      <c r="F2937" s="202"/>
      <c r="G2937" s="203">
        <f>SUM(G2935:G2936)</f>
        <v>74019324676.80896</v>
      </c>
      <c r="H2937" s="200"/>
    </row>
    <row r="2941" spans="1:771 1026:1795 2050:2819 3074:3843 4098:4867 5122:5891 6146:6915 7170:7939 8194:8963 9218:9987 10242:11011 11266:12035 12290:13059 13314:14083 14338:15107 15362:16131" x14ac:dyDescent="0.3">
      <c r="G2941" s="208"/>
    </row>
    <row r="2942" spans="1:771 1026:1795 2050:2819 3074:3843 4098:4867 5122:5891 6146:6915 7170:7939 8194:8963 9218:9987 10242:11011 11266:12035 12290:13059 13314:14083 14338:15107 15362:16131" x14ac:dyDescent="0.3">
      <c r="G2942" s="208"/>
    </row>
  </sheetData>
  <autoFilter ref="A7:AC2937" xr:uid="{27CA33F4-E1E7-453D-B10D-91E2B1569692}"/>
  <mergeCells count="8">
    <mergeCell ref="A5:H5"/>
    <mergeCell ref="A6:H6"/>
    <mergeCell ref="A1:C1"/>
    <mergeCell ref="D1:H1"/>
    <mergeCell ref="A2:C2"/>
    <mergeCell ref="D2:H2"/>
    <mergeCell ref="A3:B3"/>
    <mergeCell ref="A4:H4"/>
  </mergeCells>
  <phoneticPr fontId="18" type="noConversion"/>
  <pageMargins left="0.27559055118110237" right="0.2" top="0.39370078740157483" bottom="0.39370078740157483" header="0.31496062992125984" footer="0.31496062992125984"/>
  <pageSetup paperSize="9" orientation="landscape" r:id="rId1"/>
  <headerFooter>
    <oddFooter>&amp;C&amp;P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Công Thành Trần</cp:lastModifiedBy>
  <cp:lastPrinted>2025-05-29T00:56:05Z</cp:lastPrinted>
  <dcterms:created xsi:type="dcterms:W3CDTF">2025-04-14T01:19:37Z</dcterms:created>
  <dcterms:modified xsi:type="dcterms:W3CDTF">2025-05-29T00:56:29Z</dcterms:modified>
</cp:coreProperties>
</file>